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2102A219-F38D-423F-8832-2B1F6256753C}" xr6:coauthVersionLast="46" xr6:coauthVersionMax="46" xr10:uidLastSave="{00000000-0000-0000-0000-000000000000}"/>
  <bookViews>
    <workbookView xWindow="-120" yWindow="-120" windowWidth="29040" windowHeight="15840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Input'!$A$1:$H$55</definedName>
    <definedName name="_xlnm.Print_Area" localSheetId="2">'Financial Input'!$A$1:$N$64</definedName>
    <definedName name="_xlnm.Print_Area" localSheetId="0">Summary!$B$1:$AO$35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3" l="1"/>
  <c r="AN31" i="4"/>
  <c r="AN30" i="4"/>
  <c r="D31" i="3"/>
  <c r="C115" i="4" s="1"/>
  <c r="C31" i="3"/>
  <c r="C98" i="4" s="1"/>
  <c r="G19" i="3"/>
  <c r="G31" i="3"/>
  <c r="B98" i="4" s="1"/>
  <c r="AO30" i="4" s="1"/>
  <c r="F31" i="3"/>
  <c r="B81" i="4" s="1"/>
  <c r="AO29" i="4" s="1"/>
  <c r="B31" i="3"/>
  <c r="C81" i="4" s="1"/>
  <c r="AN29" i="4" s="1"/>
  <c r="K11" i="5"/>
  <c r="B114" i="4"/>
  <c r="C114" i="4"/>
  <c r="B115" i="4"/>
  <c r="AO31" i="4" s="1"/>
  <c r="B64" i="4"/>
  <c r="C64" i="4"/>
  <c r="D64" i="4" l="1"/>
  <c r="AN32" i="4"/>
  <c r="D115" i="4"/>
  <c r="D114" i="4"/>
  <c r="D98" i="4"/>
  <c r="D81" i="4"/>
  <c r="K15" i="5"/>
  <c r="AM31" i="4"/>
  <c r="AL31" i="4"/>
  <c r="G30" i="3" l="1"/>
  <c r="F30" i="3"/>
  <c r="C30" i="3"/>
  <c r="B30" i="3"/>
  <c r="B113" i="4" l="1"/>
  <c r="C113" i="4"/>
  <c r="AJ31" i="4" s="1"/>
  <c r="B97" i="4"/>
  <c r="AM30" i="4" s="1"/>
  <c r="C97" i="4"/>
  <c r="AL30" i="4" s="1"/>
  <c r="B80" i="4"/>
  <c r="AM29" i="4" s="1"/>
  <c r="C80" i="4"/>
  <c r="AL29" i="4" s="1"/>
  <c r="B62" i="4"/>
  <c r="C62" i="4"/>
  <c r="B63" i="4"/>
  <c r="C63" i="4"/>
  <c r="C61" i="4"/>
  <c r="B61" i="4"/>
  <c r="C29" i="3"/>
  <c r="C96" i="4" s="1"/>
  <c r="AJ30" i="4" s="1"/>
  <c r="B29" i="3"/>
  <c r="C79" i="4" s="1"/>
  <c r="AJ29" i="4" s="1"/>
  <c r="G29" i="3"/>
  <c r="B96" i="4" s="1"/>
  <c r="AK30" i="4" s="1"/>
  <c r="F29" i="3"/>
  <c r="B79" i="4" s="1"/>
  <c r="AK29" i="4" s="1"/>
  <c r="H28" i="3"/>
  <c r="B112" i="4" s="1"/>
  <c r="AI31" i="4" s="1"/>
  <c r="G28" i="3"/>
  <c r="B95" i="4" s="1"/>
  <c r="F28" i="3"/>
  <c r="B78" i="4" s="1"/>
  <c r="D28" i="3"/>
  <c r="C112" i="4" s="1"/>
  <c r="C28" i="3"/>
  <c r="C95" i="4" s="1"/>
  <c r="B28" i="3"/>
  <c r="C78" i="4" s="1"/>
  <c r="AL32" i="4" l="1"/>
  <c r="AL33" i="4" s="1"/>
  <c r="D113" i="4"/>
  <c r="AM32" i="4"/>
  <c r="D96" i="4"/>
  <c r="AJ32" i="4"/>
  <c r="AK31" i="4"/>
  <c r="AK32" i="4" s="1"/>
  <c r="AJ33" i="4" s="1"/>
  <c r="D80" i="4"/>
  <c r="AO32" i="4" s="1"/>
  <c r="AN33" i="4" s="1"/>
  <c r="D97" i="4"/>
  <c r="D63" i="4"/>
  <c r="D79" i="4"/>
  <c r="D62" i="4"/>
  <c r="D61" i="4"/>
  <c r="C27" i="3"/>
  <c r="B27" i="3"/>
  <c r="G27" i="3"/>
  <c r="F27" i="3"/>
  <c r="C26" i="3" l="1"/>
  <c r="B26" i="3"/>
  <c r="G26" i="3"/>
  <c r="F26" i="3"/>
  <c r="B110" i="4" l="1"/>
  <c r="C110" i="4"/>
  <c r="B111" i="4"/>
  <c r="C111" i="4"/>
  <c r="B93" i="4"/>
  <c r="C93" i="4"/>
  <c r="B94" i="4"/>
  <c r="C94" i="4"/>
  <c r="B76" i="4"/>
  <c r="C76" i="4"/>
  <c r="B77" i="4"/>
  <c r="C77" i="4"/>
  <c r="B59" i="4"/>
  <c r="C59" i="4"/>
  <c r="B60" i="4"/>
  <c r="C60" i="4"/>
  <c r="D111" i="4" l="1"/>
  <c r="D60" i="4"/>
  <c r="D110" i="4"/>
  <c r="D77" i="4"/>
  <c r="D76" i="4"/>
  <c r="D112" i="4"/>
  <c r="D59" i="4"/>
  <c r="D78" i="4"/>
  <c r="D95" i="4"/>
  <c r="D94" i="4"/>
  <c r="D93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4" i="4"/>
  <c r="C105" i="4"/>
  <c r="C107" i="4"/>
  <c r="C108" i="4"/>
  <c r="B104" i="4"/>
  <c r="B105" i="4"/>
  <c r="B107" i="4"/>
  <c r="B108" i="4"/>
  <c r="C57" i="4"/>
  <c r="C58" i="4"/>
  <c r="B57" i="4"/>
  <c r="B58" i="4"/>
  <c r="D104" i="4" l="1"/>
  <c r="AH33" i="4"/>
  <c r="D58" i="4"/>
  <c r="D107" i="4"/>
  <c r="AE33" i="4"/>
  <c r="AB33" i="4"/>
  <c r="D108" i="4"/>
  <c r="D105" i="4"/>
  <c r="D57" i="4"/>
  <c r="D25" i="3"/>
  <c r="C109" i="4" s="1"/>
  <c r="Y31" i="4" s="1"/>
  <c r="H25" i="3"/>
  <c r="B109" i="4" s="1"/>
  <c r="Z31" i="4" s="1"/>
  <c r="C25" i="3"/>
  <c r="C92" i="4" s="1"/>
  <c r="Y30" i="4" s="1"/>
  <c r="B25" i="3"/>
  <c r="C75" i="4" s="1"/>
  <c r="Y29" i="4" s="1"/>
  <c r="G25" i="3"/>
  <c r="B92" i="4" s="1"/>
  <c r="F25" i="3"/>
  <c r="B75" i="4" s="1"/>
  <c r="D75" i="4" l="1"/>
  <c r="Z29" i="4"/>
  <c r="D92" i="4"/>
  <c r="Z30" i="4"/>
  <c r="Y32" i="4"/>
  <c r="D109" i="4"/>
  <c r="G24" i="3"/>
  <c r="B91" i="4" s="1"/>
  <c r="F24" i="3"/>
  <c r="B74" i="4" s="1"/>
  <c r="C24" i="3"/>
  <c r="C91" i="4" s="1"/>
  <c r="B24" i="3"/>
  <c r="C74" i="4" s="1"/>
  <c r="Z32" i="4" l="1"/>
  <c r="Y33" i="4" s="1"/>
  <c r="D91" i="4"/>
  <c r="M11" i="5"/>
  <c r="M19" i="5"/>
  <c r="M23" i="5"/>
  <c r="M15" i="5"/>
  <c r="G23" i="3" l="1"/>
  <c r="F23" i="3"/>
  <c r="H22" i="3" l="1"/>
  <c r="B106" i="4" s="1"/>
  <c r="G22" i="3"/>
  <c r="F22" i="3"/>
  <c r="F21" i="3" l="1"/>
  <c r="G21" i="3"/>
  <c r="C19" i="3" l="1"/>
  <c r="D19" i="3"/>
  <c r="C103" i="4" s="1"/>
  <c r="C22" i="3"/>
  <c r="D22" i="3"/>
  <c r="C106" i="4" s="1"/>
  <c r="D106" i="4" s="1"/>
  <c r="G20" i="3"/>
  <c r="H19" i="3"/>
  <c r="B103" i="4" s="1"/>
  <c r="F20" i="3" l="1"/>
  <c r="C23" i="3" l="1"/>
  <c r="B23" i="3"/>
  <c r="B22" i="3" l="1"/>
  <c r="C21" i="3"/>
  <c r="B21" i="3"/>
  <c r="C20" i="3"/>
  <c r="B20" i="3"/>
  <c r="B19" i="3"/>
  <c r="C18" i="3"/>
  <c r="B18" i="3"/>
  <c r="F18" i="3"/>
  <c r="G18" i="3"/>
  <c r="F19" i="3"/>
  <c r="B36" i="3" l="1"/>
  <c r="B14" i="3"/>
  <c r="A49" i="4"/>
  <c r="C102" i="4"/>
  <c r="B102" i="4"/>
  <c r="B52" i="4"/>
  <c r="C52" i="4"/>
  <c r="B53" i="4"/>
  <c r="C53" i="4"/>
  <c r="B54" i="4"/>
  <c r="C54" i="4"/>
  <c r="B55" i="4"/>
  <c r="C55" i="4"/>
  <c r="B56" i="4"/>
  <c r="C56" i="4"/>
  <c r="C51" i="4"/>
  <c r="B51" i="4"/>
  <c r="B69" i="4"/>
  <c r="C69" i="4"/>
  <c r="B70" i="4"/>
  <c r="C70" i="4"/>
  <c r="B71" i="4"/>
  <c r="C71" i="4"/>
  <c r="B72" i="4"/>
  <c r="C72" i="4"/>
  <c r="B73" i="4"/>
  <c r="C73" i="4"/>
  <c r="C68" i="4"/>
  <c r="B68" i="4"/>
  <c r="C86" i="4"/>
  <c r="C87" i="4"/>
  <c r="C88" i="4"/>
  <c r="C89" i="4"/>
  <c r="C90" i="4"/>
  <c r="C85" i="4"/>
  <c r="B86" i="4"/>
  <c r="B87" i="4"/>
  <c r="B88" i="4"/>
  <c r="B89" i="4"/>
  <c r="B90" i="4"/>
  <c r="B85" i="4"/>
  <c r="A5" i="3"/>
  <c r="B32" i="4" l="1"/>
  <c r="A100" i="4" l="1"/>
  <c r="B31" i="4" s="1"/>
  <c r="A83" i="4"/>
  <c r="B30" i="4" s="1"/>
  <c r="A66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2" i="4"/>
  <c r="D85" i="4"/>
  <c r="D103" i="4"/>
  <c r="D102" i="4"/>
  <c r="D88" i="4"/>
  <c r="D68" i="4"/>
  <c r="D87" i="4"/>
  <c r="D90" i="4"/>
  <c r="D86" i="4"/>
  <c r="D89" i="4"/>
  <c r="D71" i="4"/>
  <c r="D74" i="4"/>
  <c r="D70" i="4"/>
  <c r="D73" i="4"/>
  <c r="D69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<sst xmlns="http://schemas.openxmlformats.org/spreadsheetml/2006/main" count="98" uniqueCount="50">
  <si>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</si>
  <si>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</si>
  <si>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</si>
  <si>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</si>
  <si>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</si>
  <si>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</si>
  <si>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</si>
  <si>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</si>
  <si>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</si>
  <si>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</si>
  <si>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</si>
  <si>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</si>
  <si>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</si>
  <si>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</si>
  <si>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</si>
  <si>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</si>
  <si>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</si>
  <si>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</si>
  <si>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</si>
  <si>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</si>
  <si>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</si>
  <si>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</si>
  <si>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</si>
  <si>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</si>
  <si>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</si>
  <si>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</si>
  <si>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</si>
  <si>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</si>
  <si>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</si>
  <si>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</si>
  <si>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</si>
  <si>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</si>
  <si>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</si>
  <si>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</si>
  <si>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</si>
  <si>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</si>
  <si>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</si>
  <si>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</si>
  <si>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</si>
  <si>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</si>
  <si>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</si>
  <si>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</si>
  <si>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</si>
  <si>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</si>
  <si>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</si>
  <si>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</si>
  <si>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</si>
  <si>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</si>
  <si>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Prior Year (2020)</t>
  </si>
  <si>
    <t>Current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</si>
</sst>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Summary!$A$51:$A$64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Summary!$C$51:$C$64</c:f>
              <c:numCache>
                <c:formatCode>_(* #,##0.00_);_(* \(#,##0.00\);_(* "-"??_);_(@_)</c:formatCode>
                <c:ptCount val="14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Summary!$A$51:$A$64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Summary!$B$51:$B$64</c:f>
              <c:numCache>
                <c:formatCode>_(* #,##0.00_);_(* \(#,##0.00\);_(* "-"??_);_(@_)</c:formatCode>
                <c:ptCount val="14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Summary!$A$68:$A$81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Summary!$C$68:$C$81</c:f>
              <c:numCache>
                <c:formatCode>_(* #,##0_);_(* \(#,##0\);_(* "-"??_);_(@_)</c:formatCode>
                <c:ptCount val="14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Summary!$A$68:$A$81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Summary!$B$68:$B$81</c:f>
              <c:numCache>
                <c:formatCode>_(* #,##0_);_(* \(#,##0\);_(* "-"??_);_(@_)</c:formatCode>
                <c:ptCount val="14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Summary!$A$85:$A$98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Summary!$C$85:$C$98</c:f>
              <c:numCache>
                <c:formatCode>_(* #,##0_);_(* \(#,##0\);_(* "-"??_);_(@_)</c:formatCode>
                <c:ptCount val="14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Summary!$A$85:$A$98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Summary!$B$85:$B$98</c:f>
              <c:numCache>
                <c:formatCode>_(* #,##0_);_(* \(#,##0\);_(* "-"??_);_(@_)</c:formatCode>
                <c:ptCount val="14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Summary!$A$100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Summary!$A$102:$A$115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Summary!$C$102:$C$115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Summary!$A$102:$A$115</c:f>
              <c:numCache>
                <c:formatCode>mmm\-yy</c:formatCode>
                <c:ptCount val="1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</c:numCache>
            </c:numRef>
          </c:cat>
          <c:val>
            <c:numRef>
              <c:f>Summary!$B$102:$B$115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2327</xdr:colOff>
      <xdr:row>0</xdr:row>
      <xdr:rowOff>1329698</xdr:rowOff>
    </xdr:from>
    <xdr:to>
      <xdr:col>41</xdr:col>
      <xdr:colOff>0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9525</xdr:colOff>
      <xdr:row>16</xdr:row>
      <xdr:rowOff>15988</xdr:rowOff>
    </xdr:from>
    <xdr:to>
      <xdr:col>13</xdr:col>
      <xdr:colOff>276225</xdr:colOff>
      <xdr:row>27</xdr:row>
      <xdr:rowOff>22013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285750</xdr:colOff>
      <xdr:row>16</xdr:row>
      <xdr:rowOff>8791</xdr:rowOff>
    </xdr:from>
    <xdr:to>
      <xdr:col>28</xdr:col>
      <xdr:colOff>380999</xdr:colOff>
      <xdr:row>27</xdr:row>
      <xdr:rowOff>8791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28</xdr:col>
      <xdr:colOff>361949</xdr:colOff>
      <xdr:row>16</xdr:row>
      <xdr:rowOff>22972</xdr:rowOff>
    </xdr:from>
    <xdr:to>
      <xdr:col>40</xdr:col>
      <xdr:colOff>600074</xdr:colOff>
      <xdr:row>27</xdr:row>
      <xdr:rowOff>22972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5"/>
  <sheetViews>
    <sheetView tabSelected="1" view="pageBreakPreview" topLeftCell="A25" zoomScaleNormal="90" zoomScaleSheetLayoutView="100" workbookViewId="0">
      <selection activeCell="M121" sqref="M121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customWidth="1"/>
    <col min="25" max="26" width="9.7109375" bestFit="1" customWidth="1"/>
    <col min="27" max="27" width="1" customWidth="1"/>
    <col min="28" max="29" width="9.7109375" bestFit="1" customWidth="1"/>
    <col min="30" max="30" width="1" customWidth="1"/>
    <col min="31" max="32" width="9.7109375" bestFit="1" customWidth="1"/>
    <col min="33" max="33" width="1" customWidth="1"/>
  </cols>
  <sheetData>
    <row r="1" spans="1:55" ht="108.75" customHeight="1" x14ac:dyDescent="1.1000000000000001">
      <c r="A1" s="48"/>
      <c r="B1" s="59" t="s">
        <v>41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25">
      <c r="A2" s="29"/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13" t="s">
        <v>13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55">
        <v>44248</v>
      </c>
      <c r="AM28" s="55"/>
      <c r="AN28" s="55">
        <v>44276</v>
      </c>
      <c r="AO28" s="55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12" t="str">
        <f>A66</f>
        <v>Residential Demand (Kgal)</v>
      </c>
      <c r="C29" s="11"/>
      <c r="D29" s="15">
        <f>C68</f>
        <v>111009.96192</v>
      </c>
      <c r="E29" s="14">
        <f>B68</f>
        <v>104204.22408000001</v>
      </c>
      <c r="G29" s="15">
        <f>C69</f>
        <v>123525.13140000001</v>
      </c>
      <c r="H29" s="14">
        <f>B69</f>
        <v>116687.49136</v>
      </c>
      <c r="J29" s="15">
        <f>C70</f>
        <v>113258.78652000001</v>
      </c>
      <c r="K29" s="14">
        <f>B70</f>
        <v>109598.96464000001</v>
      </c>
      <c r="M29" s="15">
        <f>C71</f>
        <v>107128.05136</v>
      </c>
      <c r="N29" s="14">
        <f>B71</f>
        <v>109656.01460000001</v>
      </c>
      <c r="P29" s="15">
        <f>C72</f>
        <v>144930.45292000001</v>
      </c>
      <c r="Q29" s="14">
        <f>B72</f>
        <v>154696.23620000001</v>
      </c>
      <c r="S29" s="15">
        <f>C73</f>
        <v>151028.01428</v>
      </c>
      <c r="T29" s="14">
        <f>B73</f>
        <v>159889.35336000001</v>
      </c>
      <c r="V29" s="15">
        <f>C74</f>
        <v>143816.33684</v>
      </c>
      <c r="W29" s="14">
        <f>B74</f>
        <v>160013.98512</v>
      </c>
      <c r="X29" s="28"/>
      <c r="Y29" s="15">
        <f>C75</f>
        <v>260607.45612000002</v>
      </c>
      <c r="Z29" s="14">
        <f>B75</f>
        <v>337995.64084000001</v>
      </c>
      <c r="AA29" s="28"/>
      <c r="AB29" s="15">
        <f>C76</f>
        <v>173601.36772000001</v>
      </c>
      <c r="AC29" s="14">
        <f>B76</f>
        <v>243049.08364000003</v>
      </c>
      <c r="AD29" s="28"/>
      <c r="AE29" s="15">
        <f>C77</f>
        <v>131198.83348</v>
      </c>
      <c r="AF29" s="14">
        <f>B77</f>
        <v>162175.56299999999</v>
      </c>
      <c r="AG29" s="28"/>
      <c r="AH29" s="15">
        <f>C78</f>
        <v>170629.38420000003</v>
      </c>
      <c r="AI29" s="14">
        <f>B78</f>
        <v>207737.90356000001</v>
      </c>
      <c r="AJ29" s="15">
        <f>C79</f>
        <v>117899.62536000001</v>
      </c>
      <c r="AK29" s="15">
        <f>B79</f>
        <v>124779.79668000001</v>
      </c>
      <c r="AL29" s="15">
        <f>C80</f>
        <v>104204.22408000001</v>
      </c>
      <c r="AM29" s="15">
        <f>B80</f>
        <v>124538.23756000001</v>
      </c>
      <c r="AN29" s="15">
        <f>C81</f>
        <v>116687.49136</v>
      </c>
      <c r="AO29" s="15">
        <f>B81</f>
        <v>144510.13676000002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12" t="str">
        <f>A83</f>
        <v>Non-Residential Demand (Kgal)</v>
      </c>
      <c r="C30" s="11"/>
      <c r="D30" s="15">
        <f>C85</f>
        <v>24891.70464</v>
      </c>
      <c r="E30" s="14">
        <f>B85</f>
        <v>27184.287240000001</v>
      </c>
      <c r="G30" s="15">
        <f>C86</f>
        <v>42416.79552</v>
      </c>
      <c r="H30" s="14">
        <f>B86</f>
        <v>52556.783840000004</v>
      </c>
      <c r="J30" s="15">
        <f>C87</f>
        <v>33427.880640000003</v>
      </c>
      <c r="K30" s="14">
        <f>B87</f>
        <v>30008.585640000001</v>
      </c>
      <c r="M30" s="15">
        <f>C88</f>
        <v>26254.44844</v>
      </c>
      <c r="N30" s="14">
        <f>B88</f>
        <v>21459.484200000003</v>
      </c>
      <c r="P30" s="15">
        <f>C89</f>
        <v>33248.873200000002</v>
      </c>
      <c r="Q30" s="14">
        <f>B89</f>
        <v>47687.401080000003</v>
      </c>
      <c r="S30" s="15">
        <f>C90</f>
        <v>42679.937520000007</v>
      </c>
      <c r="T30" s="14">
        <f>B90</f>
        <v>33702.69584</v>
      </c>
      <c r="V30" s="15">
        <f>C91</f>
        <v>34036.498319999999</v>
      </c>
      <c r="W30" s="14">
        <f>B91</f>
        <v>30630.764560000003</v>
      </c>
      <c r="X30" s="28"/>
      <c r="Y30" s="15">
        <f>C92</f>
        <v>86367.775120000006</v>
      </c>
      <c r="Z30" s="14">
        <f>B92</f>
        <v>87939.966400000005</v>
      </c>
      <c r="AA30" s="28"/>
      <c r="AB30" s="15">
        <f>C93</f>
        <v>49561.754440000004</v>
      </c>
      <c r="AC30" s="14">
        <f>B93</f>
        <v>51017.646679999998</v>
      </c>
      <c r="AD30" s="28"/>
      <c r="AE30" s="15">
        <f>C94</f>
        <v>32261.419520000003</v>
      </c>
      <c r="AF30" s="14">
        <f>B94</f>
        <v>38090.246920000005</v>
      </c>
      <c r="AG30" s="28"/>
      <c r="AH30" s="15">
        <f>C95</f>
        <v>66164.871080000012</v>
      </c>
      <c r="AI30" s="14">
        <f>B95</f>
        <v>72201.814520000014</v>
      </c>
      <c r="AJ30" s="15">
        <f>C96</f>
        <v>38851.995160000006</v>
      </c>
      <c r="AK30" s="14">
        <f>B96</f>
        <v>32645.300600000002</v>
      </c>
      <c r="AL30" s="15">
        <f>C97</f>
        <v>27184.287240000001</v>
      </c>
      <c r="AM30" s="14">
        <f>B97</f>
        <v>32987.652720000006</v>
      </c>
      <c r="AN30" s="15">
        <f>C98</f>
        <v>52556.783840000004</v>
      </c>
      <c r="AO30" s="14">
        <f>B98</f>
        <v>37296.185080000003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2" t="str">
        <f>A100</f>
        <v>Wholesale Demand (Kgal)</v>
      </c>
      <c r="C31" s="11"/>
      <c r="D31" s="15">
        <f>C102</f>
        <v>0</v>
      </c>
      <c r="E31" s="14">
        <f>B102</f>
        <v>0</v>
      </c>
      <c r="G31" s="15">
        <f>C103</f>
        <v>14013.78</v>
      </c>
      <c r="H31" s="14">
        <f>B103</f>
        <v>21965.02</v>
      </c>
      <c r="J31" s="15">
        <f>C104</f>
        <v>0</v>
      </c>
      <c r="K31" s="14">
        <f>B104</f>
        <v>0</v>
      </c>
      <c r="M31" s="15">
        <f>C105</f>
        <v>0</v>
      </c>
      <c r="N31" s="14">
        <f>B105</f>
        <v>0</v>
      </c>
      <c r="P31" s="15">
        <f>C106</f>
        <v>30443.599999999999</v>
      </c>
      <c r="Q31" s="14">
        <f>B106</f>
        <v>27331</v>
      </c>
      <c r="S31" s="15">
        <f>C107</f>
        <v>0</v>
      </c>
      <c r="T31" s="14">
        <f>B107</f>
        <v>0</v>
      </c>
      <c r="V31" s="15">
        <f>C108</f>
        <v>0</v>
      </c>
      <c r="W31" s="14">
        <f>B108</f>
        <v>0</v>
      </c>
      <c r="X31" s="28"/>
      <c r="Y31" s="15">
        <f>C109</f>
        <v>38376.14</v>
      </c>
      <c r="Z31" s="14">
        <f>B109</f>
        <v>50400.24</v>
      </c>
      <c r="AA31" s="28"/>
      <c r="AB31" s="15">
        <f>C110</f>
        <v>0</v>
      </c>
      <c r="AC31" s="14">
        <f>B110</f>
        <v>0</v>
      </c>
      <c r="AD31" s="28"/>
      <c r="AE31" s="15">
        <f>C111</f>
        <v>0</v>
      </c>
      <c r="AF31" s="14">
        <f>B111</f>
        <v>0</v>
      </c>
      <c r="AG31" s="28"/>
      <c r="AH31" s="15">
        <f>C112</f>
        <v>24784.98</v>
      </c>
      <c r="AI31" s="14">
        <f>B112</f>
        <v>30611.9</v>
      </c>
      <c r="AJ31" s="15">
        <f>C113</f>
        <v>0</v>
      </c>
      <c r="AK31" s="14">
        <f>B113</f>
        <v>0</v>
      </c>
      <c r="AL31" s="15">
        <f>C114</f>
        <v>0</v>
      </c>
      <c r="AM31" s="14">
        <f>B114</f>
        <v>0</v>
      </c>
      <c r="AN31" s="15">
        <f>C115</f>
        <v>21965.02</v>
      </c>
      <c r="AO31" s="15">
        <f>B115</f>
        <v>30196.76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"Total Demand ("&amp;'Demand Input'!$C$9&amp;")"</f>
        <v>Total Demand (Kgal)</v>
      </c>
      <c r="C32" s="11"/>
      <c r="D32" s="15">
        <f>SUM(D29:D31)</f>
        <v>135901.66656000001</v>
      </c>
      <c r="E32" s="14">
        <f>SUM(E29:E31)</f>
        <v>131388.51132000002</v>
      </c>
      <c r="G32" s="15">
        <f>SUM(G29:G31)</f>
        <v>179955.70692</v>
      </c>
      <c r="H32" s="14">
        <f>SUM(H29:H31)</f>
        <v>191209.29519999999</v>
      </c>
      <c r="J32" s="15">
        <f>SUM(J29:J31)</f>
        <v>146686.66716000001</v>
      </c>
      <c r="K32" s="14">
        <f>SUM(K29:K31)</f>
        <v>139607.55028</v>
      </c>
      <c r="M32" s="15">
        <f>SUM(M29:M31)</f>
        <v>133382.49979999999</v>
      </c>
      <c r="N32" s="14">
        <f>SUM(N29:N31)</f>
        <v>131115.4988</v>
      </c>
      <c r="P32" s="15">
        <f>SUM(P29:P31)</f>
        <v>208622.92612000002</v>
      </c>
      <c r="Q32" s="14">
        <f>SUM(Q29:Q31)</f>
        <v>229714.63728000002</v>
      </c>
      <c r="S32" s="15">
        <f>SUM(S29:S31)</f>
        <v>193707.95180000001</v>
      </c>
      <c r="T32" s="14">
        <f>SUM(T29:T31)</f>
        <v>193592.04920000001</v>
      </c>
      <c r="V32" s="15">
        <f>SUM(V29:V31)</f>
        <v>177852.83516000002</v>
      </c>
      <c r="W32" s="14">
        <f>SUM(W29:W31)</f>
        <v>190644.74968000001</v>
      </c>
      <c r="X32" s="28"/>
      <c r="Y32" s="15">
        <f>SUM(Y29:Y31)</f>
        <v>385351.37124000001</v>
      </c>
      <c r="Z32" s="14">
        <f>SUM(Z29:Z31)</f>
        <v>476335.84724000003</v>
      </c>
      <c r="AA32" s="28"/>
      <c r="AB32" s="15">
        <f>SUM(AB29:AB31)</f>
        <v>223163.12216000003</v>
      </c>
      <c r="AC32" s="14">
        <f>SUM(AC29:AC31)</f>
        <v>294066.73032000003</v>
      </c>
      <c r="AD32" s="28"/>
      <c r="AE32" s="15">
        <f>SUM(AE29:AE31)</f>
        <v>163460.253</v>
      </c>
      <c r="AF32" s="14">
        <f>SUM(AF29:AF31)</f>
        <v>200265.80992</v>
      </c>
      <c r="AG32" s="28"/>
      <c r="AH32" s="15">
        <f t="shared" ref="AH32:AM32" si="0">SUM(AH29:AH31)</f>
        <v>261579.23528000005</v>
      </c>
      <c r="AI32" s="14">
        <f t="shared" si="0"/>
        <v>310551.61808000004</v>
      </c>
      <c r="AJ32" s="15">
        <f t="shared" si="0"/>
        <v>156751.62052</v>
      </c>
      <c r="AK32" s="14">
        <f t="shared" si="0"/>
        <v>157425.09728000002</v>
      </c>
      <c r="AL32" s="15">
        <f t="shared" si="0"/>
        <v>131388.51132000002</v>
      </c>
      <c r="AM32" s="14">
        <f t="shared" si="0"/>
        <v>157525.89028000002</v>
      </c>
      <c r="AN32" s="15">
        <f t="shared" ref="AN32:AO32" si="1">SUM(AN29:AN31)</f>
        <v>191209.29519999999</v>
      </c>
      <c r="AO32" s="14">
        <f t="shared" si="1"/>
        <v>212003.08184000003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">
        <v>7</v>
      </c>
      <c r="C33" s="11"/>
      <c r="D33" s="54">
        <f>E32/D32-1</f>
        <v>-3.3208976418309444E-2</v>
      </c>
      <c r="E33" s="54"/>
      <c r="F33" s="19"/>
      <c r="G33" s="54">
        <f>H32/G32-1</f>
        <v>6.2535323122610453E-2</v>
      </c>
      <c r="H33" s="54"/>
      <c r="I33" s="19"/>
      <c r="J33" s="54">
        <f>K32/J32-1</f>
        <v>-4.8260124911546298E-2</v>
      </c>
      <c r="K33" s="54"/>
      <c r="L33" s="19"/>
      <c r="M33" s="54">
        <f>N32/M32-1</f>
        <v>-1.6996240161934573E-2</v>
      </c>
      <c r="N33" s="54"/>
      <c r="O33" s="19"/>
      <c r="P33" s="54">
        <f>Q32/P32-1</f>
        <v>0.10109968042471063</v>
      </c>
      <c r="Q33" s="54"/>
      <c r="R33" s="19"/>
      <c r="S33" s="54">
        <f>T32/S32-1</f>
        <v>-5.9833682057441884E-4</v>
      </c>
      <c r="T33" s="54"/>
      <c r="U33" s="19"/>
      <c r="V33" s="54">
        <f>W32/V32-1</f>
        <v>7.1924152957652421E-2</v>
      </c>
      <c r="W33" s="54"/>
      <c r="X33" s="11"/>
      <c r="Y33" s="54">
        <f>Z32/Y32-1</f>
        <v>0.23610782986765111</v>
      </c>
      <c r="Z33" s="54"/>
      <c r="AA33" s="28"/>
      <c r="AB33" s="54">
        <f>AC32/AB32-1</f>
        <v>0.31772099025019296</v>
      </c>
      <c r="AC33" s="54"/>
      <c r="AD33" s="11"/>
      <c r="AE33" s="54">
        <f>AF32/AE32-1</f>
        <v>0.22516517773895783</v>
      </c>
      <c r="AF33" s="54"/>
      <c r="AG33" s="11"/>
      <c r="AH33" s="54">
        <f>AI32/AH32-1</f>
        <v>0.18721815876393588</v>
      </c>
      <c r="AI33" s="54"/>
      <c r="AJ33" s="56">
        <f>AK32/AJ32-1</f>
        <v>4.2964580383020312E-3</v>
      </c>
      <c r="AK33" s="57"/>
      <c r="AL33" s="56">
        <f>AM32/AL32-1</f>
        <v>0.19893199715416343</v>
      </c>
      <c r="AM33" s="57"/>
      <c r="AN33" s="56">
        <f>AO32/AN32-1</f>
        <v>0.10874882739487246</v>
      </c>
      <c r="AO33" s="57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25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Z46" s="30"/>
      <c r="AA46" s="30"/>
      <c r="AB46" s="30"/>
      <c r="AC46" s="30"/>
      <c r="AD46" s="30"/>
      <c r="AE46" s="30"/>
    </row>
    <row r="47" spans="1:55" s="9" customFormat="1" x14ac:dyDescent="0.25">
      <c r="A47" s="53" t="s">
        <v>14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55" s="9" customFormat="1" x14ac:dyDescent="0.25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25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25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25">
      <c r="A51" s="51">
        <v>43862</v>
      </c>
      <c r="B51" s="23">
        <f>'Demand Input'!F39</f>
        <v>167.53200000000001</v>
      </c>
      <c r="C51" s="23">
        <f>'Demand Input'!D39</f>
        <v>173.84700000000001</v>
      </c>
      <c r="D51" s="5">
        <f t="shared" ref="D51:D58" si="2">B51/C51</f>
        <v>0.96367495556437555</v>
      </c>
      <c r="E51" s="5"/>
      <c r="F51" s="5"/>
      <c r="I51" s="5"/>
      <c r="L51" s="5"/>
      <c r="O51" s="5"/>
      <c r="R51" s="5"/>
      <c r="U51" s="5"/>
    </row>
    <row r="52" spans="1:31" x14ac:dyDescent="0.25">
      <c r="A52" s="51">
        <v>43891</v>
      </c>
      <c r="B52" s="23">
        <f>'Demand Input'!F40</f>
        <v>190.30600000000001</v>
      </c>
      <c r="C52" s="23">
        <f>'Demand Input'!D40</f>
        <v>195.333</v>
      </c>
      <c r="D52" s="5">
        <f t="shared" si="2"/>
        <v>0.97426446120215227</v>
      </c>
      <c r="E52" s="5"/>
      <c r="F52" s="5"/>
      <c r="I52" s="5"/>
      <c r="L52" s="5"/>
      <c r="O52" s="5"/>
      <c r="R52" s="5"/>
      <c r="U52" s="5"/>
    </row>
    <row r="53" spans="1:31" x14ac:dyDescent="0.25">
      <c r="A53" s="51">
        <v>43922</v>
      </c>
      <c r="B53" s="23">
        <f>'Demand Input'!F41</f>
        <v>178.22</v>
      </c>
      <c r="C53" s="23">
        <f>'Demand Input'!D41</f>
        <v>193.55099999999999</v>
      </c>
      <c r="D53" s="5">
        <f t="shared" si="2"/>
        <v>0.92079090265614749</v>
      </c>
      <c r="E53" s="5"/>
      <c r="F53" s="5"/>
      <c r="I53" s="5"/>
      <c r="L53" s="5"/>
      <c r="O53" s="5"/>
      <c r="R53" s="5"/>
      <c r="U53" s="5"/>
    </row>
    <row r="54" spans="1:31" x14ac:dyDescent="0.25">
      <c r="A54" s="51">
        <v>43952</v>
      </c>
      <c r="B54" s="23">
        <f>'Demand Input'!F42</f>
        <v>240.625</v>
      </c>
      <c r="C54" s="23">
        <f>'Demand Input'!D42</f>
        <v>228.09100000000001</v>
      </c>
      <c r="D54" s="5">
        <f t="shared" si="2"/>
        <v>1.0549517517131319</v>
      </c>
      <c r="E54" s="5"/>
      <c r="F54" s="5"/>
      <c r="I54" s="5"/>
      <c r="L54" s="5"/>
      <c r="O54" s="5"/>
      <c r="R54" s="5"/>
      <c r="U54" s="5"/>
    </row>
    <row r="55" spans="1:31" x14ac:dyDescent="0.25">
      <c r="A55" s="51">
        <v>43983</v>
      </c>
      <c r="B55" s="23">
        <f>'Demand Input'!F43</f>
        <v>348.57</v>
      </c>
      <c r="C55" s="23">
        <f>'Demand Input'!D43</f>
        <v>257.89999999999998</v>
      </c>
      <c r="D55" s="5">
        <f t="shared" si="2"/>
        <v>1.3515703761147733</v>
      </c>
      <c r="E55" s="5"/>
      <c r="F55" s="5"/>
      <c r="I55" s="5"/>
      <c r="L55" s="5"/>
      <c r="O55" s="5"/>
      <c r="R55" s="5"/>
      <c r="U55" s="5"/>
    </row>
    <row r="56" spans="1:31" x14ac:dyDescent="0.25">
      <c r="A56" s="51">
        <v>44013</v>
      </c>
      <c r="B56" s="23">
        <f>'Demand Input'!F44</f>
        <v>381.34</v>
      </c>
      <c r="C56" s="23">
        <f>'Demand Input'!D44</f>
        <v>333.37</v>
      </c>
      <c r="D56" s="5">
        <f t="shared" si="2"/>
        <v>1.1438941716411193</v>
      </c>
      <c r="E56" s="5"/>
      <c r="F56" s="5"/>
      <c r="I56" s="5"/>
      <c r="L56" s="5"/>
      <c r="O56" s="5"/>
      <c r="R56" s="5"/>
      <c r="U56" s="5"/>
    </row>
    <row r="57" spans="1:31" x14ac:dyDescent="0.25">
      <c r="A57" s="51">
        <v>44044</v>
      </c>
      <c r="B57" s="23">
        <f>'Demand Input'!F45</f>
        <v>370.12</v>
      </c>
      <c r="C57" s="23">
        <f>'Demand Input'!D45</f>
        <v>323.49</v>
      </c>
      <c r="D57" s="5">
        <f t="shared" si="2"/>
        <v>1.1441466505919813</v>
      </c>
      <c r="E57" s="5"/>
      <c r="F57" s="5"/>
      <c r="I57" s="5"/>
      <c r="L57" s="5"/>
      <c r="O57" s="5"/>
      <c r="R57" s="5"/>
      <c r="U57" s="5"/>
    </row>
    <row r="58" spans="1:31" s="9" customFormat="1" x14ac:dyDescent="0.25">
      <c r="A58" s="51">
        <v>44075</v>
      </c>
      <c r="B58" s="23">
        <f>'Demand Input'!F46</f>
        <v>320.39</v>
      </c>
      <c r="C58" s="23">
        <f>'Demand Input'!D46</f>
        <v>282.52999999999997</v>
      </c>
      <c r="D58" s="5">
        <f t="shared" si="2"/>
        <v>1.1340034686581957</v>
      </c>
      <c r="E58" s="5"/>
      <c r="F58" s="5"/>
      <c r="I58" s="5"/>
      <c r="L58" s="5"/>
      <c r="O58" s="5"/>
      <c r="R58" s="5"/>
      <c r="U58" s="5"/>
    </row>
    <row r="59" spans="1:31" s="9" customFormat="1" x14ac:dyDescent="0.25">
      <c r="A59" s="51">
        <v>44105</v>
      </c>
      <c r="B59" s="23">
        <f>'Demand Input'!F47</f>
        <v>233.34</v>
      </c>
      <c r="C59" s="23">
        <f>'Demand Input'!D47</f>
        <v>208.72</v>
      </c>
      <c r="D59" s="5">
        <f t="shared" ref="D59:D61" si="3">B59/C59</f>
        <v>1.1179570716749714</v>
      </c>
      <c r="E59" s="5"/>
      <c r="F59" s="5"/>
      <c r="I59" s="5"/>
      <c r="L59" s="5"/>
      <c r="O59" s="5"/>
      <c r="R59" s="5"/>
      <c r="U59" s="5"/>
    </row>
    <row r="60" spans="1:31" s="9" customFormat="1" x14ac:dyDescent="0.25">
      <c r="A60" s="51">
        <v>44136</v>
      </c>
      <c r="B60" s="23">
        <f>'Demand Input'!F48</f>
        <v>187.14</v>
      </c>
      <c r="C60" s="23">
        <f>'Demand Input'!D48</f>
        <v>193.92</v>
      </c>
      <c r="D60" s="5">
        <f t="shared" si="3"/>
        <v>0.96503712871287128</v>
      </c>
      <c r="E60" s="5"/>
      <c r="F60" s="5"/>
      <c r="I60" s="5"/>
      <c r="L60" s="5"/>
      <c r="O60" s="5"/>
      <c r="R60" s="5"/>
      <c r="U60" s="5"/>
    </row>
    <row r="61" spans="1:31" s="9" customFormat="1" x14ac:dyDescent="0.25">
      <c r="A61" s="51">
        <v>44166</v>
      </c>
      <c r="B61" s="23">
        <f>'Demand Input'!F49</f>
        <v>182.02</v>
      </c>
      <c r="C61" s="23">
        <f>'Demand Input'!D49</f>
        <v>188.86</v>
      </c>
      <c r="D61" s="5">
        <f t="shared" si="3"/>
        <v>0.96378269617706236</v>
      </c>
      <c r="E61" s="5"/>
      <c r="F61" s="5"/>
      <c r="I61" s="5"/>
      <c r="L61" s="5"/>
      <c r="O61" s="5"/>
      <c r="R61" s="5"/>
      <c r="U61" s="5"/>
    </row>
    <row r="62" spans="1:31" s="9" customFormat="1" x14ac:dyDescent="0.25">
      <c r="A62" s="51">
        <v>44197</v>
      </c>
      <c r="B62" s="23">
        <f>'Demand Input'!F50</f>
        <v>189.96</v>
      </c>
      <c r="C62" s="23">
        <f>'Demand Input'!D50</f>
        <v>189.94</v>
      </c>
      <c r="D62" s="5">
        <f t="shared" ref="D62:D63" si="4">B62/C62</f>
        <v>1.0001052964093924</v>
      </c>
      <c r="E62" s="5"/>
      <c r="F62" s="5"/>
      <c r="I62" s="5"/>
      <c r="L62" s="5"/>
      <c r="O62" s="5"/>
      <c r="R62" s="5"/>
      <c r="U62" s="5"/>
    </row>
    <row r="63" spans="1:31" s="9" customFormat="1" x14ac:dyDescent="0.25">
      <c r="A63" s="51">
        <v>44228</v>
      </c>
      <c r="B63" s="23">
        <f>'Demand Input'!F51</f>
        <v>178.97</v>
      </c>
      <c r="C63" s="23">
        <f>'Demand Input'!D51</f>
        <v>173.75</v>
      </c>
      <c r="D63" s="5">
        <f t="shared" si="4"/>
        <v>1.0300431654676259</v>
      </c>
      <c r="E63" s="5"/>
      <c r="F63" s="5"/>
      <c r="I63" s="5"/>
      <c r="L63" s="5"/>
      <c r="O63" s="5"/>
      <c r="R63" s="5"/>
      <c r="U63" s="5"/>
    </row>
    <row r="64" spans="1:31" s="9" customFormat="1" x14ac:dyDescent="0.25">
      <c r="A64" s="51">
        <v>44256</v>
      </c>
      <c r="B64" s="23">
        <f>'Demand Input'!F52</f>
        <v>195.96</v>
      </c>
      <c r="C64" s="23">
        <f>'Demand Input'!D52</f>
        <v>190.77</v>
      </c>
      <c r="D64" s="5">
        <f t="shared" ref="D64" si="5">B64/C64</f>
        <v>1.0272055354615506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2</v>
      </c>
      <c r="B67" s="3" t="s">
        <v>0</v>
      </c>
      <c r="C67" s="3" t="s">
        <v>1</v>
      </c>
    </row>
    <row r="68" spans="1:21" x14ac:dyDescent="0.25">
      <c r="A68" s="51">
        <v>43862</v>
      </c>
      <c r="B68" s="6">
        <f>'Demand Input'!F18</f>
        <v>104204.22408000001</v>
      </c>
      <c r="C68" s="6">
        <f>'Demand Input'!B18</f>
        <v>111009.96192</v>
      </c>
      <c r="D68" s="4">
        <f>B68/C68</f>
        <v>0.93869254864798002</v>
      </c>
      <c r="E68" s="4"/>
      <c r="F68" s="4"/>
      <c r="I68" s="4"/>
      <c r="L68" s="4"/>
      <c r="O68" s="4"/>
      <c r="R68" s="4"/>
      <c r="U68" s="4"/>
    </row>
    <row r="69" spans="1:21" x14ac:dyDescent="0.25">
      <c r="A69" s="51">
        <v>43891</v>
      </c>
      <c r="B69" s="6">
        <f>'Demand Input'!F19</f>
        <v>116687.49136</v>
      </c>
      <c r="C69" s="6">
        <f>'Demand Input'!B19</f>
        <v>123525.13140000001</v>
      </c>
      <c r="D69" s="4">
        <f t="shared" ref="D69:D75" si="6">B69/C69</f>
        <v>0.94464575781054372</v>
      </c>
      <c r="E69" s="4"/>
      <c r="F69" s="4"/>
      <c r="I69" s="4"/>
      <c r="L69" s="4"/>
      <c r="O69" s="4"/>
      <c r="R69" s="4"/>
      <c r="U69" s="4"/>
    </row>
    <row r="70" spans="1:21" x14ac:dyDescent="0.25">
      <c r="A70" s="51">
        <v>43922</v>
      </c>
      <c r="B70" s="6">
        <f>'Demand Input'!F20</f>
        <v>109598.96464000001</v>
      </c>
      <c r="C70" s="6">
        <f>'Demand Input'!B20</f>
        <v>113258.78652000001</v>
      </c>
      <c r="D70" s="4">
        <f t="shared" si="6"/>
        <v>0.9676861990804243</v>
      </c>
      <c r="E70" s="4"/>
      <c r="F70" s="4"/>
      <c r="I70" s="4"/>
      <c r="L70" s="4"/>
      <c r="O70" s="4"/>
      <c r="R70" s="4"/>
      <c r="U70" s="4"/>
    </row>
    <row r="71" spans="1:21" x14ac:dyDescent="0.25">
      <c r="A71" s="51">
        <v>43952</v>
      </c>
      <c r="B71" s="6">
        <f>'Demand Input'!F21</f>
        <v>109656.01460000001</v>
      </c>
      <c r="C71" s="6">
        <f>'Demand Input'!B21</f>
        <v>107128.05136</v>
      </c>
      <c r="D71" s="4">
        <f t="shared" si="6"/>
        <v>1.0235975844599738</v>
      </c>
      <c r="E71" s="4"/>
      <c r="F71" s="4"/>
      <c r="I71" s="4"/>
      <c r="L71" s="4"/>
      <c r="O71" s="4"/>
      <c r="R71" s="4"/>
      <c r="U71" s="4"/>
    </row>
    <row r="72" spans="1:21" x14ac:dyDescent="0.25">
      <c r="A72" s="51">
        <v>43983</v>
      </c>
      <c r="B72" s="6">
        <f>'Demand Input'!F22</f>
        <v>154696.23620000001</v>
      </c>
      <c r="C72" s="6">
        <f>'Demand Input'!B22</f>
        <v>144930.45292000001</v>
      </c>
      <c r="D72" s="4">
        <f t="shared" si="6"/>
        <v>1.0673825485482378</v>
      </c>
      <c r="E72" s="4"/>
      <c r="F72" s="4"/>
      <c r="I72" s="4"/>
      <c r="L72" s="4"/>
      <c r="O72" s="4"/>
      <c r="R72" s="4"/>
      <c r="U72" s="4"/>
    </row>
    <row r="73" spans="1:21" x14ac:dyDescent="0.25">
      <c r="A73" s="51">
        <v>44013</v>
      </c>
      <c r="B73" s="6">
        <f>'Demand Input'!F23</f>
        <v>159889.35336000001</v>
      </c>
      <c r="C73" s="6">
        <f>'Demand Input'!B23</f>
        <v>151028.01428</v>
      </c>
      <c r="D73" s="4">
        <f t="shared" si="6"/>
        <v>1.0586734793690091</v>
      </c>
      <c r="E73" s="4"/>
      <c r="F73" s="4"/>
      <c r="I73" s="4"/>
      <c r="L73" s="4"/>
      <c r="O73" s="4"/>
      <c r="R73" s="4"/>
      <c r="U73" s="4"/>
    </row>
    <row r="74" spans="1:21" x14ac:dyDescent="0.25">
      <c r="A74" s="51">
        <v>44044</v>
      </c>
      <c r="B74" s="6">
        <f>'Demand Input'!F24</f>
        <v>160013.98512</v>
      </c>
      <c r="C74" s="6">
        <f>'Demand Input'!B24</f>
        <v>143816.33684</v>
      </c>
      <c r="D74" s="4">
        <f t="shared" si="6"/>
        <v>1.1126273178409514</v>
      </c>
      <c r="E74" s="4"/>
      <c r="F74" s="4"/>
      <c r="I74" s="4"/>
      <c r="L74" s="4"/>
      <c r="O74" s="4"/>
      <c r="R74" s="4"/>
      <c r="U74" s="4"/>
    </row>
    <row r="75" spans="1:21" x14ac:dyDescent="0.25">
      <c r="A75" s="51">
        <v>44075</v>
      </c>
      <c r="B75" s="6">
        <f>'Demand Input'!F25</f>
        <v>337995.64084000001</v>
      </c>
      <c r="C75" s="6">
        <f>'Demand Input'!B25</f>
        <v>260607.45612000002</v>
      </c>
      <c r="D75" s="4">
        <f t="shared" si="6"/>
        <v>1.2969530721498836</v>
      </c>
    </row>
    <row r="76" spans="1:21" s="9" customFormat="1" x14ac:dyDescent="0.25">
      <c r="A76" s="51">
        <v>44105</v>
      </c>
      <c r="B76" s="6">
        <f>'Demand Input'!F26</f>
        <v>243049.08364000003</v>
      </c>
      <c r="C76" s="6">
        <f>'Demand Input'!B26</f>
        <v>173601.36772000001</v>
      </c>
      <c r="D76" s="4">
        <f t="shared" ref="D76:D78" si="7">B76/C76</f>
        <v>1.4000412947898635</v>
      </c>
      <c r="E76" s="5"/>
      <c r="F76" s="5"/>
      <c r="I76" s="5"/>
      <c r="L76" s="5"/>
      <c r="O76" s="5"/>
      <c r="R76" s="5"/>
      <c r="U76" s="5"/>
    </row>
    <row r="77" spans="1:21" s="9" customFormat="1" x14ac:dyDescent="0.25">
      <c r="A77" s="51">
        <v>44136</v>
      </c>
      <c r="B77" s="6">
        <f>'Demand Input'!F27</f>
        <v>162175.56299999999</v>
      </c>
      <c r="C77" s="6">
        <f>'Demand Input'!B27</f>
        <v>131198.83348</v>
      </c>
      <c r="D77" s="4">
        <f t="shared" si="7"/>
        <v>1.2361052205904111</v>
      </c>
      <c r="E77" s="5"/>
      <c r="F77" s="5"/>
      <c r="I77" s="5"/>
      <c r="L77" s="5"/>
      <c r="O77" s="5"/>
      <c r="R77" s="5"/>
      <c r="U77" s="5"/>
    </row>
    <row r="78" spans="1:21" s="9" customFormat="1" x14ac:dyDescent="0.25">
      <c r="A78" s="51">
        <v>44166</v>
      </c>
      <c r="B78" s="6">
        <f>'Demand Input'!F28</f>
        <v>207737.90356000001</v>
      </c>
      <c r="C78" s="6">
        <f>'Demand Input'!B28</f>
        <v>170629.38420000003</v>
      </c>
      <c r="D78" s="4">
        <f t="shared" si="7"/>
        <v>1.2174802396081084</v>
      </c>
      <c r="E78" s="5"/>
      <c r="F78" s="5"/>
      <c r="I78" s="5"/>
      <c r="L78" s="5"/>
      <c r="O78" s="5"/>
      <c r="R78" s="5"/>
      <c r="U78" s="5"/>
    </row>
    <row r="79" spans="1:21" s="9" customFormat="1" x14ac:dyDescent="0.25">
      <c r="A79" s="51">
        <v>44197</v>
      </c>
      <c r="B79" s="6">
        <f>'Demand Input'!F29</f>
        <v>124779.79668000001</v>
      </c>
      <c r="C79" s="6">
        <f>'Demand Input'!B29</f>
        <v>117899.62536000001</v>
      </c>
      <c r="D79" s="4">
        <f t="shared" ref="D79" si="8">B79/C79</f>
        <v>1.0583561762727556</v>
      </c>
      <c r="E79" s="5"/>
      <c r="F79" s="5"/>
      <c r="I79" s="5"/>
      <c r="L79" s="5"/>
      <c r="O79" s="5"/>
      <c r="R79" s="5"/>
      <c r="U79" s="5"/>
    </row>
    <row r="80" spans="1:21" s="9" customFormat="1" x14ac:dyDescent="0.25">
      <c r="A80" s="51">
        <v>44228</v>
      </c>
      <c r="B80" s="6">
        <f>'Demand Input'!F30</f>
        <v>124538.23756000001</v>
      </c>
      <c r="C80" s="6">
        <f>'Demand Input'!B30</f>
        <v>104204.22408000001</v>
      </c>
      <c r="D80" s="4">
        <f t="shared" ref="D80" si="9">B80/C80</f>
        <v>1.1951361728329659</v>
      </c>
      <c r="E80" s="5"/>
      <c r="F80" s="5"/>
      <c r="I80" s="5"/>
      <c r="L80" s="5"/>
      <c r="O80" s="5"/>
      <c r="R80" s="5"/>
      <c r="U80" s="5"/>
    </row>
    <row r="81" spans="1:21" s="9" customFormat="1" x14ac:dyDescent="0.25">
      <c r="A81" s="51">
        <v>44256</v>
      </c>
      <c r="B81" s="6">
        <f>'Demand Input'!F31</f>
        <v>144510.13676000002</v>
      </c>
      <c r="C81" s="6">
        <f>'Demand Input'!B31</f>
        <v>116687.49136</v>
      </c>
      <c r="D81" s="4">
        <f t="shared" ref="D81" si="10">B81/C81</f>
        <v>1.2384372572906088</v>
      </c>
      <c r="E81" s="5"/>
      <c r="F81" s="5"/>
      <c r="I81" s="5"/>
      <c r="L81" s="5"/>
      <c r="O81" s="5"/>
      <c r="R81" s="5"/>
      <c r="U81" s="5"/>
    </row>
    <row r="83" spans="1:21" x14ac:dyDescent="0.25">
      <c r="A83" s="7" t="str">
        <f>"Non-Residential Demand ("&amp;'Demand Input'!$C$9&amp;")"</f>
        <v>Non-Residential Demand (Kgal)</v>
      </c>
    </row>
    <row r="84" spans="1:21" x14ac:dyDescent="0.25">
      <c r="A84" s="2" t="s">
        <v>2</v>
      </c>
      <c r="B84" s="3" t="s">
        <v>0</v>
      </c>
      <c r="C84" s="3" t="s">
        <v>1</v>
      </c>
    </row>
    <row r="85" spans="1:21" x14ac:dyDescent="0.25">
      <c r="A85" s="51">
        <v>43862</v>
      </c>
      <c r="B85" s="6">
        <f>'Demand Input'!G18</f>
        <v>27184.287240000001</v>
      </c>
      <c r="C85" s="6">
        <f>'Demand Input'!C18</f>
        <v>24891.70464</v>
      </c>
      <c r="D85" s="4">
        <f>B85/C85</f>
        <v>1.092102273956598</v>
      </c>
      <c r="E85" s="4"/>
      <c r="F85" s="4"/>
      <c r="I85" s="4"/>
      <c r="L85" s="4"/>
      <c r="O85" s="4"/>
      <c r="R85" s="4"/>
      <c r="U85" s="4"/>
    </row>
    <row r="86" spans="1:21" x14ac:dyDescent="0.25">
      <c r="A86" s="51">
        <v>43891</v>
      </c>
      <c r="B86" s="6">
        <f>'Demand Input'!G19</f>
        <v>52556.783840000004</v>
      </c>
      <c r="C86" s="6">
        <f>'Demand Input'!C19</f>
        <v>42416.79552</v>
      </c>
      <c r="D86" s="4">
        <f t="shared" ref="D86:D92" si="11">B86/C86</f>
        <v>1.2390559728921269</v>
      </c>
      <c r="E86" s="4"/>
      <c r="F86" s="4"/>
      <c r="I86" s="4"/>
      <c r="L86" s="4"/>
      <c r="O86" s="4"/>
      <c r="R86" s="4"/>
      <c r="U86" s="4"/>
    </row>
    <row r="87" spans="1:21" x14ac:dyDescent="0.25">
      <c r="A87" s="51">
        <v>43922</v>
      </c>
      <c r="B87" s="6">
        <f>'Demand Input'!G20</f>
        <v>30008.585640000001</v>
      </c>
      <c r="C87" s="6">
        <f>'Demand Input'!C20</f>
        <v>33427.880640000003</v>
      </c>
      <c r="D87" s="4">
        <f t="shared" si="11"/>
        <v>0.89771128367891639</v>
      </c>
      <c r="E87" s="4"/>
      <c r="F87" s="4"/>
      <c r="I87" s="4"/>
      <c r="L87" s="4"/>
      <c r="O87" s="4"/>
      <c r="R87" s="4"/>
      <c r="U87" s="4"/>
    </row>
    <row r="88" spans="1:21" x14ac:dyDescent="0.25">
      <c r="A88" s="51">
        <v>43952</v>
      </c>
      <c r="B88" s="6">
        <f>'Demand Input'!G21</f>
        <v>21459.484200000003</v>
      </c>
      <c r="C88" s="6">
        <f>'Demand Input'!C21</f>
        <v>26254.44844</v>
      </c>
      <c r="D88" s="4">
        <f t="shared" si="11"/>
        <v>0.81736564563685055</v>
      </c>
      <c r="E88" s="4"/>
      <c r="F88" s="4"/>
      <c r="I88" s="4"/>
      <c r="L88" s="4"/>
      <c r="O88" s="4"/>
      <c r="R88" s="4"/>
      <c r="U88" s="4"/>
    </row>
    <row r="89" spans="1:21" x14ac:dyDescent="0.25">
      <c r="A89" s="51">
        <v>43983</v>
      </c>
      <c r="B89" s="6">
        <f>'Demand Input'!G22</f>
        <v>47687.401080000003</v>
      </c>
      <c r="C89" s="6">
        <f>'Demand Input'!C22</f>
        <v>33248.873200000002</v>
      </c>
      <c r="D89" s="4">
        <f t="shared" si="11"/>
        <v>1.4342561563860756</v>
      </c>
      <c r="E89" s="4"/>
      <c r="F89" s="4"/>
      <c r="I89" s="4"/>
      <c r="L89" s="4"/>
      <c r="O89" s="4"/>
      <c r="R89" s="4"/>
      <c r="U89" s="4"/>
    </row>
    <row r="90" spans="1:21" x14ac:dyDescent="0.25">
      <c r="A90" s="51">
        <v>44013</v>
      </c>
      <c r="B90" s="6">
        <f>'Demand Input'!G23</f>
        <v>33702.69584</v>
      </c>
      <c r="C90" s="6">
        <f>'Demand Input'!C23</f>
        <v>42679.937520000007</v>
      </c>
      <c r="D90" s="4">
        <f t="shared" si="11"/>
        <v>0.78966132094750063</v>
      </c>
      <c r="E90" s="4"/>
      <c r="F90" s="4"/>
      <c r="I90" s="4"/>
      <c r="L90" s="4"/>
      <c r="O90" s="4"/>
      <c r="R90" s="4"/>
      <c r="U90" s="4"/>
    </row>
    <row r="91" spans="1:21" x14ac:dyDescent="0.25">
      <c r="A91" s="51">
        <v>44044</v>
      </c>
      <c r="B91" s="6">
        <f>'Demand Input'!G24</f>
        <v>30630.764560000003</v>
      </c>
      <c r="C91" s="6">
        <f>'Demand Input'!C24</f>
        <v>34036.498319999999</v>
      </c>
      <c r="D91" s="4">
        <f t="shared" si="11"/>
        <v>0.89993877372518161</v>
      </c>
      <c r="E91" s="4"/>
      <c r="F91" s="4"/>
      <c r="I91" s="4"/>
      <c r="L91" s="4"/>
      <c r="O91" s="4"/>
      <c r="R91" s="4"/>
      <c r="U91" s="4"/>
    </row>
    <row r="92" spans="1:21" x14ac:dyDescent="0.25">
      <c r="A92" s="51">
        <v>44075</v>
      </c>
      <c r="B92" s="6">
        <f>'Demand Input'!G25</f>
        <v>87939.966400000005</v>
      </c>
      <c r="C92" s="6">
        <f>'Demand Input'!C25</f>
        <v>86367.775120000006</v>
      </c>
      <c r="D92" s="4">
        <f t="shared" si="11"/>
        <v>1.0182034477305406</v>
      </c>
    </row>
    <row r="93" spans="1:21" s="9" customFormat="1" x14ac:dyDescent="0.25">
      <c r="A93" s="51">
        <v>44105</v>
      </c>
      <c r="B93" s="6">
        <f>'Demand Input'!G26</f>
        <v>51017.646679999998</v>
      </c>
      <c r="C93" s="6">
        <f>'Demand Input'!C26</f>
        <v>49561.754440000004</v>
      </c>
      <c r="D93" s="4">
        <f t="shared" ref="D93:D95" si="12">B93/C93</f>
        <v>1.0293753168436059</v>
      </c>
      <c r="E93" s="5"/>
      <c r="F93" s="5"/>
      <c r="I93" s="5"/>
      <c r="L93" s="5"/>
      <c r="O93" s="5"/>
      <c r="R93" s="5"/>
      <c r="U93" s="5"/>
    </row>
    <row r="94" spans="1:21" s="9" customFormat="1" x14ac:dyDescent="0.25">
      <c r="A94" s="51">
        <v>44136</v>
      </c>
      <c r="B94" s="6">
        <f>'Demand Input'!G27</f>
        <v>38090.246920000005</v>
      </c>
      <c r="C94" s="6">
        <f>'Demand Input'!C27</f>
        <v>32261.419520000003</v>
      </c>
      <c r="D94" s="4">
        <f t="shared" si="12"/>
        <v>1.1806748582896827</v>
      </c>
      <c r="E94" s="5"/>
      <c r="F94" s="5"/>
      <c r="I94" s="5"/>
      <c r="L94" s="5"/>
      <c r="O94" s="5"/>
      <c r="R94" s="5"/>
      <c r="U94" s="5"/>
    </row>
    <row r="95" spans="1:21" s="9" customFormat="1" x14ac:dyDescent="0.25">
      <c r="A95" s="51">
        <v>44166</v>
      </c>
      <c r="B95" s="6">
        <f>'Demand Input'!G28</f>
        <v>72201.814520000014</v>
      </c>
      <c r="C95" s="6">
        <f>'Demand Input'!C28</f>
        <v>66164.871080000012</v>
      </c>
      <c r="D95" s="4">
        <f t="shared" si="12"/>
        <v>1.0912409159340872</v>
      </c>
      <c r="E95" s="5"/>
      <c r="F95" s="5"/>
      <c r="I95" s="5"/>
      <c r="L95" s="5"/>
      <c r="O95" s="5"/>
      <c r="R95" s="5"/>
      <c r="U95" s="5"/>
    </row>
    <row r="96" spans="1:21" s="9" customFormat="1" x14ac:dyDescent="0.25">
      <c r="A96" s="51">
        <v>44197</v>
      </c>
      <c r="B96" s="6">
        <f>'Demand Input'!G29</f>
        <v>32645.300600000002</v>
      </c>
      <c r="C96" s="6">
        <f>'Demand Input'!C29</f>
        <v>38851.995160000006</v>
      </c>
      <c r="D96" s="4">
        <f t="shared" ref="D96" si="13">B96/C96</f>
        <v>0.84024772641817647</v>
      </c>
      <c r="E96" s="5"/>
      <c r="F96" s="5"/>
      <c r="I96" s="5"/>
      <c r="L96" s="5"/>
      <c r="O96" s="5"/>
      <c r="R96" s="5"/>
      <c r="U96" s="5"/>
    </row>
    <row r="97" spans="1:21" x14ac:dyDescent="0.25">
      <c r="A97" s="51">
        <v>44228</v>
      </c>
      <c r="B97" s="6">
        <f>'Demand Input'!G30</f>
        <v>32987.652720000006</v>
      </c>
      <c r="C97" s="6">
        <f>'Demand Input'!C30</f>
        <v>27184.287240000001</v>
      </c>
      <c r="D97" s="4">
        <f t="shared" ref="D97" si="14">B97/C97</f>
        <v>1.2134823484156212</v>
      </c>
    </row>
    <row r="98" spans="1:21" s="9" customFormat="1" x14ac:dyDescent="0.25">
      <c r="A98" s="51">
        <v>44256</v>
      </c>
      <c r="B98" s="6">
        <f>'Demand Input'!G31</f>
        <v>37296.185080000003</v>
      </c>
      <c r="C98" s="6">
        <f>'Demand Input'!C31</f>
        <v>52556.783840000004</v>
      </c>
      <c r="D98" s="4">
        <f t="shared" ref="D98" si="15">B98/C98</f>
        <v>0.70963598521442561</v>
      </c>
    </row>
    <row r="99" spans="1:21" s="9" customFormat="1" x14ac:dyDescent="0.25">
      <c r="A99" s="1"/>
      <c r="B99" s="6"/>
      <c r="C99" s="6"/>
      <c r="D99" s="4"/>
    </row>
    <row r="100" spans="1:21" x14ac:dyDescent="0.25">
      <c r="A100" s="7" t="str">
        <f>"Wholesale Demand ("&amp;'Demand Input'!$C$9&amp;")"</f>
        <v>Wholesale Demand (Kgal)</v>
      </c>
    </row>
    <row r="101" spans="1:21" x14ac:dyDescent="0.25">
      <c r="A101" s="2" t="s">
        <v>2</v>
      </c>
      <c r="B101" s="3" t="s">
        <v>0</v>
      </c>
      <c r="C101" s="3" t="s">
        <v>1</v>
      </c>
    </row>
    <row r="102" spans="1:21" x14ac:dyDescent="0.25">
      <c r="A102" s="51">
        <v>43862</v>
      </c>
      <c r="B102" s="6">
        <f>'Demand Input'!H18</f>
        <v>0</v>
      </c>
      <c r="C102" s="6">
        <f>'Demand Input'!D18</f>
        <v>0</v>
      </c>
      <c r="D102" s="4" t="e">
        <f>B102/C102</f>
        <v>#DIV/0!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51">
        <v>43891</v>
      </c>
      <c r="B103" s="6">
        <f>'Demand Input'!H19</f>
        <v>21965.02</v>
      </c>
      <c r="C103" s="6">
        <f>'Demand Input'!D19</f>
        <v>14013.78</v>
      </c>
      <c r="D103" s="4">
        <f t="shared" ref="D103:D109" si="16">B103/C103</f>
        <v>1.5673872431278355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51">
        <v>43922</v>
      </c>
      <c r="B104" s="6">
        <f>'Demand Input'!H20</f>
        <v>0</v>
      </c>
      <c r="C104" s="6">
        <f>'Demand Input'!D20</f>
        <v>0</v>
      </c>
      <c r="D104" s="4" t="e">
        <f t="shared" si="16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51">
        <v>43952</v>
      </c>
      <c r="B105" s="6">
        <f>'Demand Input'!H21</f>
        <v>0</v>
      </c>
      <c r="C105" s="6">
        <f>'Demand Input'!D21</f>
        <v>0</v>
      </c>
      <c r="D105" s="4" t="e">
        <f t="shared" si="16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51">
        <v>43983</v>
      </c>
      <c r="B106" s="6">
        <f>'Demand Input'!H22</f>
        <v>27331</v>
      </c>
      <c r="C106" s="6">
        <f>'Demand Input'!D22</f>
        <v>30443.599999999999</v>
      </c>
      <c r="D106" s="4">
        <f t="shared" si="16"/>
        <v>0.89775847797238173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51">
        <v>44013</v>
      </c>
      <c r="B107" s="6">
        <f>'Demand Input'!H23</f>
        <v>0</v>
      </c>
      <c r="C107" s="6">
        <f>'Demand Input'!D23</f>
        <v>0</v>
      </c>
      <c r="D107" s="4" t="e">
        <f t="shared" si="16"/>
        <v>#DIV/0!</v>
      </c>
      <c r="E107" s="4"/>
      <c r="F107" s="4"/>
      <c r="I107" s="4"/>
      <c r="L107" s="4"/>
      <c r="O107" s="4"/>
      <c r="R107" s="4"/>
      <c r="U107" s="4"/>
    </row>
    <row r="108" spans="1:21" x14ac:dyDescent="0.25">
      <c r="A108" s="51">
        <v>44044</v>
      </c>
      <c r="B108" s="6">
        <f>'Demand Input'!H24</f>
        <v>0</v>
      </c>
      <c r="C108" s="6">
        <f>'Demand Input'!D24</f>
        <v>0</v>
      </c>
      <c r="D108" s="4" t="e">
        <f t="shared" si="16"/>
        <v>#DIV/0!</v>
      </c>
      <c r="E108" s="4"/>
      <c r="F108" s="4"/>
      <c r="I108" s="4"/>
      <c r="L108" s="4"/>
      <c r="O108" s="4"/>
      <c r="R108" s="4"/>
      <c r="U108" s="4"/>
    </row>
    <row r="109" spans="1:21" x14ac:dyDescent="0.25">
      <c r="A109" s="51">
        <v>44075</v>
      </c>
      <c r="B109" s="6">
        <f>'Demand Input'!H25</f>
        <v>50400.24</v>
      </c>
      <c r="C109" s="6">
        <f>'Demand Input'!D25</f>
        <v>38376.14</v>
      </c>
      <c r="D109" s="4">
        <f t="shared" si="16"/>
        <v>1.3133222882759965</v>
      </c>
    </row>
    <row r="110" spans="1:21" s="9" customFormat="1" x14ac:dyDescent="0.25">
      <c r="A110" s="51">
        <v>44105</v>
      </c>
      <c r="B110" s="6">
        <f>'Demand Input'!H26</f>
        <v>0</v>
      </c>
      <c r="C110" s="6">
        <f>'Demand Input'!D26</f>
        <v>0</v>
      </c>
      <c r="D110" s="4" t="e">
        <f t="shared" ref="D110:D112" si="17">B110/C110</f>
        <v>#DIV/0!</v>
      </c>
      <c r="E110" s="5"/>
      <c r="F110" s="5"/>
      <c r="I110" s="5"/>
      <c r="L110" s="5"/>
      <c r="O110" s="5"/>
      <c r="R110" s="5"/>
      <c r="U110" s="5"/>
    </row>
    <row r="111" spans="1:21" s="9" customFormat="1" x14ac:dyDescent="0.25">
      <c r="A111" s="51">
        <v>44136</v>
      </c>
      <c r="B111" s="6">
        <f>'Demand Input'!H27</f>
        <v>0</v>
      </c>
      <c r="C111" s="6">
        <f>'Demand Input'!D27</f>
        <v>0</v>
      </c>
      <c r="D111" s="4" t="e">
        <f t="shared" si="17"/>
        <v>#DIV/0!</v>
      </c>
      <c r="E111" s="5"/>
      <c r="F111" s="5"/>
      <c r="I111" s="5"/>
      <c r="L111" s="5"/>
      <c r="O111" s="5"/>
      <c r="R111" s="5"/>
      <c r="U111" s="5"/>
    </row>
    <row r="112" spans="1:21" s="9" customFormat="1" x14ac:dyDescent="0.25">
      <c r="A112" s="51">
        <v>44166</v>
      </c>
      <c r="B112" s="6">
        <f>'Demand Input'!H28</f>
        <v>30611.9</v>
      </c>
      <c r="C112" s="6">
        <f>'Demand Input'!D28</f>
        <v>24784.98</v>
      </c>
      <c r="D112" s="4">
        <f t="shared" si="17"/>
        <v>1.2350988380866155</v>
      </c>
      <c r="E112" s="5"/>
      <c r="F112" s="5"/>
      <c r="I112" s="5"/>
      <c r="L112" s="5"/>
      <c r="O112" s="5"/>
      <c r="R112" s="5"/>
      <c r="U112" s="5"/>
    </row>
    <row r="113" spans="1:4" x14ac:dyDescent="0.25">
      <c r="A113" s="51">
        <v>44197</v>
      </c>
      <c r="B113" s="6">
        <f>'Demand Input'!H29</f>
        <v>0</v>
      </c>
      <c r="C113" s="6">
        <f>'Demand Input'!D29</f>
        <v>0</v>
      </c>
      <c r="D113" s="4" t="e">
        <f t="shared" ref="D113" si="18">B113/C113</f>
        <v>#DIV/0!</v>
      </c>
    </row>
    <row r="114" spans="1:4" x14ac:dyDescent="0.25">
      <c r="A114" s="51">
        <v>44228</v>
      </c>
      <c r="B114" s="6">
        <f>'Demand Input'!H30</f>
        <v>0</v>
      </c>
      <c r="C114" s="6">
        <f>'Demand Input'!D30</f>
        <v>0</v>
      </c>
      <c r="D114" s="4" t="e">
        <f t="shared" ref="D114:D115" si="19">B114/C114</f>
        <v>#DIV/0!</v>
      </c>
    </row>
    <row r="115" spans="1:4" x14ac:dyDescent="0.25">
      <c r="A115" s="51">
        <v>44256</v>
      </c>
      <c r="B115" s="6">
        <f>'Demand Input'!H31</f>
        <v>30196.76</v>
      </c>
      <c r="C115" s="6">
        <f>'Demand Input'!D31</f>
        <v>21965.02</v>
      </c>
      <c r="D115" s="4">
        <f t="shared" si="19"/>
        <v>1.3747658777456155</v>
      </c>
    </row>
  </sheetData>
  <mergeCells count="31">
    <mergeCell ref="B2:AI2"/>
    <mergeCell ref="Y28:Z28"/>
    <mergeCell ref="Y33:Z33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AN28:AO28"/>
    <mergeCell ref="AN33:AO33"/>
    <mergeCell ref="AL28:AM28"/>
    <mergeCell ref="AL33:AM33"/>
    <mergeCell ref="AJ28:AK28"/>
    <mergeCell ref="AJ33:AK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60"/>
  <sheetViews>
    <sheetView showGridLines="0" zoomScaleNormal="100" workbookViewId="0">
      <selection activeCell="M53" sqref="M53"/>
    </sheetView>
  </sheetViews>
  <sheetFormatPr defaultColWidth="9.140625" defaultRowHeight="15" x14ac:dyDescent="0.25"/>
  <cols>
    <col min="1" max="1" width="11.85546875" style="8" customWidth="1"/>
    <col min="2" max="2" width="26.85546875" style="8" customWidth="1"/>
    <col min="3" max="4" width="18.28515625" style="8" customWidth="1"/>
    <col min="5" max="5" width="1.85546875" style="8" customWidth="1"/>
    <col min="6" max="8" width="18.28515625" style="8" customWidth="1"/>
    <col min="9" max="9" width="9.140625" style="8"/>
    <col min="10" max="10" width="10" style="8" bestFit="1" customWidth="1"/>
    <col min="11" max="11" width="12" style="8" bestFit="1" customWidth="1"/>
    <col min="12" max="16" width="9.140625" style="8"/>
    <col min="17" max="17" width="11.85546875" style="8" bestFit="1" customWidth="1"/>
    <col min="18" max="18" width="14.28515625" style="8" bestFit="1" customWidth="1"/>
    <col min="19" max="16384" width="9.140625" style="8"/>
  </cols>
  <sheetData>
    <row r="1" spans="1:71" ht="15" customHeight="1" x14ac:dyDescent="0.25">
      <c r="A1" s="63" t="s">
        <v>12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25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25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25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25">
      <c r="A5" s="68" t="str">
        <f>C8</f>
        <v>Kent County Water Authority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25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x14ac:dyDescent="0.4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25">
      <c r="A8" s="32"/>
      <c r="B8" s="33" t="s">
        <v>10</v>
      </c>
      <c r="C8" s="66" t="s">
        <v>38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25">
      <c r="A9" s="32"/>
      <c r="B9" s="33" t="s">
        <v>8</v>
      </c>
      <c r="C9" s="66" t="s">
        <v>35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25">
      <c r="A10" s="32"/>
      <c r="B10" s="33" t="s">
        <v>39</v>
      </c>
      <c r="C10" s="66" t="s">
        <v>34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25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25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25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25" x14ac:dyDescent="0.3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25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25">
      <c r="A16" s="34"/>
      <c r="B16" s="67" t="s">
        <v>48</v>
      </c>
      <c r="C16" s="67"/>
      <c r="D16" s="67"/>
      <c r="E16" s="34"/>
      <c r="F16" s="67" t="s">
        <v>49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25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25">
      <c r="A18" s="51">
        <v>43862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25">
      <c r="A19" s="51">
        <v>43891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</f>
        <v>52556.783840000004</v>
      </c>
      <c r="H19" s="21">
        <f>21965020/1000</f>
        <v>21965.02</v>
      </c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25">
      <c r="A20" s="51">
        <v>43922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25">
      <c r="A21" s="51">
        <v>43952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25">
      <c r="A22" s="51">
        <v>43983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25">
      <c r="A23" s="51">
        <v>44013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25">
      <c r="A24" s="51">
        <v>44044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25">
      <c r="A25" s="51">
        <v>44075</v>
      </c>
      <c r="B25" s="21">
        <f>(34840569*7.48)/1000</f>
        <v>260607.45612000002</v>
      </c>
      <c r="C25" s="21">
        <f>(11546494*7.48)/1000</f>
        <v>86367.775120000006</v>
      </c>
      <c r="D25" s="21">
        <f>38376140/1000</f>
        <v>38376.14</v>
      </c>
      <c r="E25" s="22"/>
      <c r="F25" s="21">
        <f>(45186583*7.48)/1000</f>
        <v>337995.64084000001</v>
      </c>
      <c r="G25" s="21">
        <f>(11756680*7.48)/1000</f>
        <v>87939.966400000005</v>
      </c>
      <c r="H25" s="21">
        <f>50400240/1000</f>
        <v>50400.24</v>
      </c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25">
      <c r="A26" s="51">
        <v>44105</v>
      </c>
      <c r="B26" s="21">
        <f>(23208739*7.48)/1000</f>
        <v>173601.36772000001</v>
      </c>
      <c r="C26" s="21">
        <f>(6625903*7.48)/1000</f>
        <v>49561.754440000004</v>
      </c>
      <c r="D26" s="21"/>
      <c r="E26" s="22"/>
      <c r="F26" s="21">
        <f>(32493193*7.48)/1000</f>
        <v>243049.08364000003</v>
      </c>
      <c r="G26" s="21">
        <f>(6820541*7.48)/1000</f>
        <v>51017.646679999998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25">
      <c r="A27" s="51">
        <v>44136</v>
      </c>
      <c r="B27" s="21">
        <f>(17539951*7.48)/1000</f>
        <v>131198.83348</v>
      </c>
      <c r="C27" s="21">
        <f>(4313024*7.48)/1000</f>
        <v>32261.419520000003</v>
      </c>
      <c r="D27" s="21"/>
      <c r="E27" s="22"/>
      <c r="F27" s="21">
        <f>(21681225*7.48)/1000</f>
        <v>162175.56299999999</v>
      </c>
      <c r="G27" s="21">
        <f>(5092279*7.48)/1000</f>
        <v>38090.246920000005</v>
      </c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25">
      <c r="A28" s="51">
        <v>44166</v>
      </c>
      <c r="B28" s="21">
        <f>(22811415*7.48)/1000</f>
        <v>170629.38420000003</v>
      </c>
      <c r="C28" s="21">
        <f>(8845571*7.48)/1000</f>
        <v>66164.871080000012</v>
      </c>
      <c r="D28" s="21">
        <f>24784980/1000</f>
        <v>24784.98</v>
      </c>
      <c r="E28" s="22"/>
      <c r="F28" s="21">
        <f>(27772447*7.48)/1000</f>
        <v>207737.90356000001</v>
      </c>
      <c r="G28" s="21">
        <f>(9652649*7.48)/1000</f>
        <v>72201.814520000014</v>
      </c>
      <c r="H28" s="21">
        <f>30611900/1000</f>
        <v>30611.9</v>
      </c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25">
      <c r="A29" s="51">
        <v>44197</v>
      </c>
      <c r="B29" s="21">
        <f>(15761982*7.48)/1000</f>
        <v>117899.62536000001</v>
      </c>
      <c r="C29" s="21">
        <f>(5194117*7.48)/1000</f>
        <v>38851.995160000006</v>
      </c>
      <c r="D29" s="21"/>
      <c r="E29" s="22"/>
      <c r="F29" s="21">
        <f>(16681791*7.48)/1000</f>
        <v>124779.79668000001</v>
      </c>
      <c r="G29" s="21">
        <f>(4364345*7.48)/1000</f>
        <v>32645.300600000002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25">
      <c r="A30" s="51">
        <v>44228</v>
      </c>
      <c r="B30" s="21">
        <f>(13931046*7.48)/1000</f>
        <v>104204.22408000001</v>
      </c>
      <c r="C30" s="21">
        <f>(3634263*7.48)/1000</f>
        <v>27184.287240000001</v>
      </c>
      <c r="D30" s="21"/>
      <c r="E30" s="22"/>
      <c r="F30" s="21">
        <f>(16649497*7.48)/1000</f>
        <v>124538.23756000001</v>
      </c>
      <c r="G30" s="21">
        <f>(4410114*7.48)/1000</f>
        <v>32987.652720000006</v>
      </c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25">
      <c r="A31" s="51">
        <v>44256</v>
      </c>
      <c r="B31" s="21">
        <f>(15599932*7.48)/1000</f>
        <v>116687.49136</v>
      </c>
      <c r="C31" s="21">
        <f>(7026308*7.48)/1000</f>
        <v>52556.783840000004</v>
      </c>
      <c r="D31" s="21">
        <f>21965020/1000</f>
        <v>21965.02</v>
      </c>
      <c r="E31" s="22"/>
      <c r="F31" s="21">
        <f>(19319537*7.48)/1000</f>
        <v>144510.13676000002</v>
      </c>
      <c r="G31" s="21">
        <f>(4986121*7.48)/1000</f>
        <v>37296.185080000003</v>
      </c>
      <c r="H31" s="21">
        <f>30196760/1000</f>
        <v>30196.76</v>
      </c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25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25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25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25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25" x14ac:dyDescent="0.3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/>
      <c r="R36" s="49"/>
      <c r="S36" s="5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25">
      <c r="A37" s="35"/>
      <c r="B37" s="60" t="s">
        <v>11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25" x14ac:dyDescent="0.35">
      <c r="A38" s="35"/>
      <c r="B38" s="32"/>
      <c r="C38" s="36" t="s">
        <v>2</v>
      </c>
      <c r="D38" s="37" t="s">
        <v>48</v>
      </c>
      <c r="E38" s="38"/>
      <c r="F38" s="37" t="s">
        <v>49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25">
      <c r="A39" s="35"/>
      <c r="B39" s="32"/>
      <c r="C39" s="51">
        <v>43862</v>
      </c>
      <c r="D39" s="46">
        <v>173.84700000000001</v>
      </c>
      <c r="E39" s="47"/>
      <c r="F39" s="46">
        <v>167.53200000000001</v>
      </c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25">
      <c r="A40" s="35"/>
      <c r="B40" s="32"/>
      <c r="C40" s="51">
        <v>43891</v>
      </c>
      <c r="D40" s="46">
        <v>195.333</v>
      </c>
      <c r="E40" s="47"/>
      <c r="F40" s="46">
        <v>190.30600000000001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25">
      <c r="A41" s="35"/>
      <c r="B41" s="32"/>
      <c r="C41" s="51">
        <v>43922</v>
      </c>
      <c r="D41" s="46">
        <v>193.55099999999999</v>
      </c>
      <c r="E41" s="47"/>
      <c r="F41" s="46">
        <v>178.22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25">
      <c r="A42" s="35"/>
      <c r="B42" s="32"/>
      <c r="C42" s="51">
        <v>43952</v>
      </c>
      <c r="D42" s="46">
        <v>228.09100000000001</v>
      </c>
      <c r="E42" s="47"/>
      <c r="F42" s="46">
        <v>240.625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25">
      <c r="A43" s="35"/>
      <c r="B43" s="32"/>
      <c r="C43" s="51">
        <v>43983</v>
      </c>
      <c r="D43" s="20">
        <v>257.89999999999998</v>
      </c>
      <c r="E43" s="40"/>
      <c r="F43" s="20">
        <v>348.57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25">
      <c r="A44" s="35"/>
      <c r="B44" s="32"/>
      <c r="C44" s="51">
        <v>44013</v>
      </c>
      <c r="D44" s="20">
        <v>333.37</v>
      </c>
      <c r="E44" s="40"/>
      <c r="F44" s="20">
        <v>381.34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25">
      <c r="A45" s="35"/>
      <c r="B45" s="32"/>
      <c r="C45" s="51">
        <v>44044</v>
      </c>
      <c r="D45" s="46">
        <v>323.49</v>
      </c>
      <c r="E45" s="47"/>
      <c r="F45" s="46">
        <v>370.12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25">
      <c r="A46" s="35"/>
      <c r="B46" s="32"/>
      <c r="C46" s="51">
        <v>44075</v>
      </c>
      <c r="D46" s="46">
        <v>282.52999999999997</v>
      </c>
      <c r="E46" s="47"/>
      <c r="F46" s="46">
        <v>320.39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25">
      <c r="A47" s="35"/>
      <c r="B47" s="32"/>
      <c r="C47" s="51">
        <v>44105</v>
      </c>
      <c r="D47" s="46">
        <v>208.72</v>
      </c>
      <c r="E47" s="47"/>
      <c r="F47" s="46">
        <v>233.34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25">
      <c r="A48" s="35"/>
      <c r="B48" s="32"/>
      <c r="C48" s="51">
        <v>44136</v>
      </c>
      <c r="D48" s="46">
        <v>193.92</v>
      </c>
      <c r="E48" s="47"/>
      <c r="F48" s="46">
        <v>187.14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25">
      <c r="A49" s="35"/>
      <c r="B49" s="32"/>
      <c r="C49" s="51">
        <v>44166</v>
      </c>
      <c r="D49" s="46">
        <v>188.86</v>
      </c>
      <c r="E49" s="47"/>
      <c r="F49" s="46">
        <v>182.02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25">
      <c r="A50" s="35"/>
      <c r="B50" s="32"/>
      <c r="C50" s="51">
        <v>44197</v>
      </c>
      <c r="D50" s="46">
        <v>189.94</v>
      </c>
      <c r="E50" s="47"/>
      <c r="F50" s="46">
        <v>189.96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25">
      <c r="A51" s="35"/>
      <c r="B51" s="32"/>
      <c r="C51" s="51">
        <v>44228</v>
      </c>
      <c r="D51" s="46">
        <v>173.75</v>
      </c>
      <c r="E51" s="47"/>
      <c r="F51" s="46">
        <v>178.97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25">
      <c r="A52" s="35"/>
      <c r="B52" s="32"/>
      <c r="C52" s="51">
        <v>44256</v>
      </c>
      <c r="D52" s="46">
        <v>190.77</v>
      </c>
      <c r="E52" s="47"/>
      <c r="F52" s="46">
        <v>195.96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25">
      <c r="A53" s="35"/>
      <c r="B53" s="32"/>
      <c r="C53" s="51">
        <v>44287</v>
      </c>
      <c r="D53" s="20"/>
      <c r="E53" s="40"/>
      <c r="F53" s="20"/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25">
      <c r="A54" s="35"/>
      <c r="B54" s="32"/>
      <c r="C54" s="32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25">
      <c r="A55" s="35"/>
      <c r="B55" s="32"/>
      <c r="C55" s="32"/>
      <c r="D55" s="28" t="s">
        <v>43</v>
      </c>
      <c r="E55" s="28"/>
      <c r="F55" s="28"/>
      <c r="G55" s="28"/>
      <c r="H55" s="28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25">
      <c r="A56" s="32"/>
      <c r="B56" s="32"/>
      <c r="C56" s="32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25">
      <c r="A57" s="32"/>
      <c r="B57" s="32"/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25">
      <c r="A58" s="32"/>
      <c r="B58" s="32"/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25">
      <c r="A59" s="32"/>
      <c r="B59" s="32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25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B1" zoomScaleNormal="100" workbookViewId="0">
      <selection activeCell="P75" sqref="P7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0"/>
    <col min="20" max="16384" width="9.140625" style="8"/>
  </cols>
  <sheetData>
    <row r="1" spans="1:19" ht="24" customHeight="1" x14ac:dyDescent="0.4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9" ht="28.5" customHeight="1" x14ac:dyDescent="0.4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9" ht="26.25" customHeight="1" x14ac:dyDescent="0.4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9" ht="24.75" customHeight="1" x14ac:dyDescent="0.35">
      <c r="A4" s="43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3">
      <c r="A6" s="32"/>
      <c r="B6" s="44" t="s">
        <v>16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25">
      <c r="A8" s="32"/>
      <c r="B8" s="32"/>
      <c r="C8" s="32" t="s">
        <v>17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25">
      <c r="N10" s="8"/>
    </row>
    <row r="11" spans="1:19" x14ac:dyDescent="0.25">
      <c r="C11" s="52">
        <v>44256</v>
      </c>
      <c r="E11" s="26">
        <v>2259135.96</v>
      </c>
      <c r="G11" s="26">
        <v>343679.18</v>
      </c>
      <c r="I11" s="26">
        <v>123694.07</v>
      </c>
      <c r="K11" s="26">
        <f>208454.72+376685.71</f>
        <v>585140.43000000005</v>
      </c>
      <c r="M11" s="26">
        <f>SUM(E11:K11)</f>
        <v>3311649.64</v>
      </c>
      <c r="N11" s="8"/>
    </row>
    <row r="12" spans="1:19" x14ac:dyDescent="0.25">
      <c r="C12" s="25" t="s">
        <v>18</v>
      </c>
      <c r="D12" s="25"/>
      <c r="E12" s="25" t="s">
        <v>19</v>
      </c>
      <c r="F12" s="25"/>
      <c r="G12" s="25" t="s">
        <v>20</v>
      </c>
      <c r="H12" s="25"/>
      <c r="I12" s="25" t="s">
        <v>36</v>
      </c>
      <c r="J12" s="25"/>
      <c r="K12" s="25" t="s">
        <v>37</v>
      </c>
      <c r="L12" s="25"/>
      <c r="M12" s="25" t="s">
        <v>21</v>
      </c>
      <c r="N12" s="8"/>
    </row>
    <row r="13" spans="1:19" x14ac:dyDescent="0.25">
      <c r="N13" s="8"/>
    </row>
    <row r="14" spans="1:19" x14ac:dyDescent="0.25">
      <c r="N14" s="8"/>
    </row>
    <row r="15" spans="1:19" x14ac:dyDescent="0.25">
      <c r="C15" s="52">
        <v>44255</v>
      </c>
      <c r="E15" s="26">
        <v>1225049.9099999999</v>
      </c>
      <c r="G15" s="26">
        <v>187912.19</v>
      </c>
      <c r="I15" s="26">
        <v>270139.45</v>
      </c>
      <c r="K15" s="26">
        <f>219943.86+260862.96</f>
        <v>480806.81999999995</v>
      </c>
      <c r="M15" s="26">
        <f>SUM(E15,G15,I15,K15)</f>
        <v>2163908.3699999996</v>
      </c>
      <c r="N15" s="8"/>
    </row>
    <row r="16" spans="1:19" x14ac:dyDescent="0.25">
      <c r="C16" s="25" t="s">
        <v>22</v>
      </c>
      <c r="D16" s="25"/>
      <c r="E16" s="25" t="s">
        <v>19</v>
      </c>
      <c r="F16" s="25"/>
      <c r="G16" s="25" t="s">
        <v>20</v>
      </c>
      <c r="H16" s="25"/>
      <c r="I16" s="25" t="s">
        <v>36</v>
      </c>
      <c r="J16" s="25"/>
      <c r="K16" s="25" t="s">
        <v>37</v>
      </c>
      <c r="L16" s="25"/>
      <c r="M16" s="25" t="s">
        <v>21</v>
      </c>
      <c r="N16" s="8"/>
    </row>
    <row r="17" spans="1:19" x14ac:dyDescent="0.25">
      <c r="N17" s="8"/>
    </row>
    <row r="18" spans="1:19" x14ac:dyDescent="0.25">
      <c r="N18" s="8"/>
    </row>
    <row r="19" spans="1:19" x14ac:dyDescent="0.25">
      <c r="C19" s="52">
        <v>43891</v>
      </c>
      <c r="E19" s="26">
        <v>2094438.64</v>
      </c>
      <c r="G19" s="26">
        <v>434527.23</v>
      </c>
      <c r="I19" s="26">
        <v>160391.64000000001</v>
      </c>
      <c r="K19" s="26">
        <v>59327.79</v>
      </c>
      <c r="M19" s="26">
        <f>SUM(E19:K19)</f>
        <v>2748685.3000000003</v>
      </c>
      <c r="N19" s="8"/>
    </row>
    <row r="20" spans="1:19" x14ac:dyDescent="0.25">
      <c r="C20" s="25" t="s">
        <v>23</v>
      </c>
      <c r="D20" s="25"/>
      <c r="E20" s="25" t="s">
        <v>19</v>
      </c>
      <c r="F20" s="25"/>
      <c r="G20" s="25" t="s">
        <v>20</v>
      </c>
      <c r="H20" s="25"/>
      <c r="I20" s="25" t="s">
        <v>36</v>
      </c>
      <c r="J20" s="25"/>
      <c r="K20" s="25" t="s">
        <v>37</v>
      </c>
      <c r="L20" s="25"/>
      <c r="M20" s="25" t="s">
        <v>21</v>
      </c>
      <c r="N20" s="8"/>
    </row>
    <row r="21" spans="1:19" x14ac:dyDescent="0.25">
      <c r="N21" s="8"/>
    </row>
    <row r="22" spans="1:19" x14ac:dyDescent="0.25">
      <c r="N22" s="8"/>
    </row>
    <row r="23" spans="1:19" x14ac:dyDescent="0.25">
      <c r="C23" s="52">
        <v>43862</v>
      </c>
      <c r="E23" s="26">
        <v>1234245.1200000001</v>
      </c>
      <c r="G23" s="26">
        <v>549056.06999999995</v>
      </c>
      <c r="I23" s="26">
        <v>127128.78</v>
      </c>
      <c r="K23" s="26">
        <v>59585.38</v>
      </c>
      <c r="M23" s="26">
        <f>SUM(E23,G23,I23,K23)</f>
        <v>1970015.3499999999</v>
      </c>
      <c r="N23" s="8"/>
    </row>
    <row r="24" spans="1:19" x14ac:dyDescent="0.25">
      <c r="C24" s="25" t="s">
        <v>24</v>
      </c>
      <c r="D24" s="25"/>
      <c r="E24" s="25" t="s">
        <v>19</v>
      </c>
      <c r="F24" s="25"/>
      <c r="G24" s="25" t="s">
        <v>20</v>
      </c>
      <c r="H24" s="25"/>
      <c r="I24" s="25" t="s">
        <v>36</v>
      </c>
      <c r="J24" s="25"/>
      <c r="K24" s="25" t="s">
        <v>37</v>
      </c>
      <c r="L24" s="25"/>
      <c r="M24" s="25" t="s">
        <v>21</v>
      </c>
      <c r="N24" s="25"/>
    </row>
    <row r="25" spans="1:19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.75" x14ac:dyDescent="0.3">
      <c r="A27" s="32"/>
      <c r="B27" s="44" t="s">
        <v>25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25">
      <c r="A29" s="32"/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25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25">
      <c r="A32" s="45"/>
      <c r="B32" s="45"/>
      <c r="C32" s="52">
        <v>44256</v>
      </c>
      <c r="D32" s="45"/>
      <c r="E32" s="21">
        <v>4083</v>
      </c>
      <c r="F32" s="45"/>
      <c r="G32" s="26">
        <v>998642.07</v>
      </c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30" x14ac:dyDescent="0.25">
      <c r="C33" s="25" t="s">
        <v>18</v>
      </c>
      <c r="D33" s="25"/>
      <c r="E33" s="27" t="s">
        <v>27</v>
      </c>
      <c r="F33" s="25"/>
      <c r="G33" s="27" t="s">
        <v>28</v>
      </c>
      <c r="H33" s="25"/>
      <c r="I33" s="42"/>
      <c r="J33" s="42"/>
      <c r="K33" s="42"/>
      <c r="L33" s="42"/>
      <c r="M33" s="42"/>
      <c r="N33" s="42"/>
    </row>
    <row r="34" spans="1:14" x14ac:dyDescent="0.25">
      <c r="I34" s="30"/>
      <c r="J34" s="30"/>
      <c r="K34" s="30"/>
      <c r="L34" s="30"/>
      <c r="M34" s="30"/>
    </row>
    <row r="35" spans="1:14" x14ac:dyDescent="0.25">
      <c r="D35" s="25"/>
      <c r="E35" s="25"/>
      <c r="F35" s="25"/>
      <c r="G35" s="25"/>
      <c r="H35" s="25"/>
      <c r="I35" s="42"/>
      <c r="J35" s="30"/>
      <c r="K35" s="30"/>
      <c r="L35" s="30"/>
      <c r="M35" s="30"/>
    </row>
    <row r="36" spans="1:14" x14ac:dyDescent="0.25">
      <c r="C36" s="52">
        <v>44228</v>
      </c>
      <c r="D36" s="45"/>
      <c r="E36" s="21">
        <v>2315</v>
      </c>
      <c r="F36" s="45"/>
      <c r="G36" s="26">
        <v>493065.67</v>
      </c>
      <c r="H36" s="25"/>
      <c r="I36" s="42"/>
      <c r="J36" s="30"/>
      <c r="K36" s="30"/>
      <c r="L36" s="30"/>
      <c r="M36" s="30"/>
    </row>
    <row r="37" spans="1:14" ht="30" x14ac:dyDescent="0.25">
      <c r="C37" s="25" t="s">
        <v>22</v>
      </c>
      <c r="D37" s="25"/>
      <c r="E37" s="27" t="s">
        <v>27</v>
      </c>
      <c r="F37" s="25"/>
      <c r="G37" s="27" t="s">
        <v>28</v>
      </c>
      <c r="H37" s="25"/>
      <c r="I37" s="42"/>
      <c r="J37" s="30"/>
      <c r="K37" s="30"/>
      <c r="L37" s="30"/>
      <c r="M37" s="30"/>
    </row>
    <row r="38" spans="1:14" x14ac:dyDescent="0.25">
      <c r="D38" s="25"/>
      <c r="E38" s="25"/>
      <c r="F38" s="25"/>
      <c r="G38" s="25"/>
      <c r="H38" s="25"/>
      <c r="I38" s="42"/>
      <c r="J38" s="30"/>
      <c r="K38" s="30"/>
      <c r="L38" s="30"/>
      <c r="M38" s="30"/>
    </row>
    <row r="39" spans="1:14" x14ac:dyDescent="0.25">
      <c r="D39" s="25"/>
      <c r="E39" s="25"/>
      <c r="F39" s="25"/>
      <c r="G39" s="25"/>
      <c r="H39" s="25"/>
      <c r="I39" s="42"/>
      <c r="J39" s="30"/>
      <c r="K39" s="30"/>
      <c r="L39" s="30"/>
      <c r="M39" s="30"/>
    </row>
    <row r="40" spans="1:14" x14ac:dyDescent="0.25">
      <c r="C40" s="52">
        <v>43891</v>
      </c>
      <c r="D40" s="25"/>
      <c r="E40" s="21">
        <v>2205</v>
      </c>
      <c r="F40" s="25"/>
      <c r="G40" s="26">
        <v>309897.71999999997</v>
      </c>
      <c r="H40" s="25"/>
      <c r="I40" s="42"/>
      <c r="J40" s="30"/>
      <c r="K40" s="30"/>
      <c r="L40" s="30"/>
      <c r="M40" s="30"/>
    </row>
    <row r="41" spans="1:14" ht="30" x14ac:dyDescent="0.25">
      <c r="C41" s="25" t="s">
        <v>23</v>
      </c>
      <c r="D41" s="25"/>
      <c r="E41" s="27" t="s">
        <v>27</v>
      </c>
      <c r="F41" s="25"/>
      <c r="G41" s="27" t="s">
        <v>28</v>
      </c>
      <c r="H41" s="25"/>
      <c r="I41" s="42"/>
      <c r="J41" s="30"/>
      <c r="K41" s="30"/>
      <c r="L41" s="30"/>
      <c r="M41" s="30"/>
    </row>
    <row r="42" spans="1:14" x14ac:dyDescent="0.25">
      <c r="D42" s="25"/>
      <c r="E42" s="25"/>
      <c r="F42" s="25"/>
      <c r="G42" s="25"/>
      <c r="H42" s="25"/>
      <c r="I42" s="42"/>
      <c r="J42" s="30"/>
      <c r="K42" s="30"/>
      <c r="L42" s="30"/>
      <c r="M42" s="30"/>
    </row>
    <row r="43" spans="1:14" x14ac:dyDescent="0.25">
      <c r="D43" s="25"/>
      <c r="E43" s="25"/>
      <c r="F43" s="25"/>
      <c r="G43" s="25"/>
      <c r="H43" s="25"/>
      <c r="I43" s="42"/>
      <c r="J43" s="30"/>
      <c r="K43" s="30"/>
      <c r="L43" s="30"/>
      <c r="M43" s="30"/>
    </row>
    <row r="44" spans="1:14" x14ac:dyDescent="0.25">
      <c r="C44" s="52">
        <v>43862</v>
      </c>
      <c r="D44" s="25"/>
      <c r="E44" s="21">
        <v>1865</v>
      </c>
      <c r="F44" s="25"/>
      <c r="G44" s="26">
        <v>393393.91</v>
      </c>
      <c r="H44" s="25"/>
      <c r="I44" s="42"/>
      <c r="J44" s="30"/>
      <c r="K44" s="30"/>
      <c r="L44" s="30"/>
      <c r="M44" s="30"/>
    </row>
    <row r="45" spans="1:14" ht="30" x14ac:dyDescent="0.25">
      <c r="C45" s="25" t="s">
        <v>24</v>
      </c>
      <c r="D45" s="25"/>
      <c r="E45" s="27" t="s">
        <v>27</v>
      </c>
      <c r="F45" s="25"/>
      <c r="G45" s="27" t="s">
        <v>28</v>
      </c>
      <c r="H45" s="25"/>
      <c r="I45" s="42"/>
      <c r="J45" s="30"/>
      <c r="K45" s="30"/>
      <c r="L45" s="30"/>
      <c r="M45" s="30"/>
    </row>
    <row r="46" spans="1:14" x14ac:dyDescent="0.25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</row>
    <row r="47" spans="1:14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.75" x14ac:dyDescent="0.3">
      <c r="A48" s="32"/>
      <c r="B48" s="44" t="s">
        <v>29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25">
      <c r="A50" s="32"/>
      <c r="B50" s="32"/>
      <c r="C50" s="32" t="s">
        <v>30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2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25">
      <c r="C53" s="52">
        <v>44256</v>
      </c>
      <c r="D53" s="25"/>
      <c r="E53" s="26">
        <v>988189.98</v>
      </c>
      <c r="F53" s="25"/>
      <c r="G53" s="52">
        <v>44228</v>
      </c>
      <c r="H53" s="25"/>
      <c r="I53" s="26">
        <v>2233976.7200000002</v>
      </c>
      <c r="K53" s="30"/>
      <c r="L53" s="30"/>
      <c r="M53" s="30"/>
    </row>
    <row r="54" spans="1:13" x14ac:dyDescent="0.25">
      <c r="C54" s="25" t="s">
        <v>18</v>
      </c>
      <c r="D54" s="25"/>
      <c r="E54" s="27" t="s">
        <v>31</v>
      </c>
      <c r="F54" s="25"/>
      <c r="G54" s="25" t="s">
        <v>18</v>
      </c>
      <c r="H54" s="25"/>
      <c r="I54" s="27" t="s">
        <v>31</v>
      </c>
      <c r="J54" s="25"/>
      <c r="K54" s="30"/>
      <c r="L54" s="30"/>
      <c r="M54" s="30"/>
    </row>
    <row r="55" spans="1:13" x14ac:dyDescent="0.2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2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2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25">
      <c r="C58" s="52">
        <v>43891</v>
      </c>
      <c r="D58" s="25"/>
      <c r="E58" s="26">
        <v>1371972.02</v>
      </c>
      <c r="F58" s="25"/>
      <c r="G58" s="52">
        <v>43862</v>
      </c>
      <c r="H58" s="25"/>
      <c r="I58" s="26">
        <v>1678416.64</v>
      </c>
      <c r="J58" s="25"/>
      <c r="K58" s="30"/>
      <c r="L58" s="30"/>
      <c r="M58" s="30"/>
    </row>
    <row r="59" spans="1:13" ht="30" x14ac:dyDescent="0.25">
      <c r="C59" s="27" t="s">
        <v>32</v>
      </c>
      <c r="D59" s="25"/>
      <c r="E59" s="27" t="s">
        <v>31</v>
      </c>
      <c r="F59" s="25"/>
      <c r="G59" s="27" t="s">
        <v>33</v>
      </c>
      <c r="H59" s="25"/>
      <c r="I59" s="27" t="s">
        <v>31</v>
      </c>
      <c r="J59" s="25"/>
      <c r="K59" s="30"/>
      <c r="L59" s="30"/>
      <c r="M59" s="30"/>
    </row>
    <row r="60" spans="1:13" x14ac:dyDescent="0.2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25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</row>
    <row r="62" spans="1:13" x14ac:dyDescent="0.25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</row>
    <row r="63" spans="1:13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A64" s="30"/>
      <c r="B64" s="30"/>
      <c r="C64" s="30"/>
      <c r="D64" s="30"/>
      <c r="E64" s="30"/>
      <c r="F64" s="30"/>
      <c r="G64" s="30" t="s">
        <v>47</v>
      </c>
      <c r="H64" s="30"/>
      <c r="I64" s="30"/>
      <c r="J64" s="30"/>
      <c r="K64" s="30"/>
      <c r="L64" s="30"/>
      <c r="M64" s="30"/>
    </row>
    <row r="65" spans="1:13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2020-10-14T13:53:09Z</cp:lastPrinted>
  <dcterms:created xsi:type="dcterms:W3CDTF">2020-04-08T14:34:01Z</dcterms:created>
  <dcterms:modified xsi:type="dcterms:W3CDTF">2021-04-15T13:34:09Z</dcterms:modified>
</cp:coreProperties>
</file>